
<file path=[Content_Types].xml><?xml version="1.0" encoding="utf-8"?>
<Types xmlns="http://schemas.openxmlformats.org/package/2006/content-type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328"/>
  <workbookPr/>
  <mc:AlternateContent xmlns:mc="http://schemas.openxmlformats.org/markup-compatibility/2006">
    <mc:Choice Requires="x15">
      <x15ac:absPath xmlns:x15ac="http://schemas.microsoft.com/office/spreadsheetml/2010/11/ac" url="C:\Users\admin\Desktop\"/>
    </mc:Choice>
  </mc:AlternateContent>
  <xr:revisionPtr revIDLastSave="0" documentId="13_ncr:1_{05E41E0A-B32A-488B-9425-19C17293694E}" xr6:coauthVersionLast="47" xr6:coauthVersionMax="47" xr10:uidLastSave="{00000000-0000-0000-0000-000000000000}"/>
  <bookViews>
    <workbookView xWindow="-23148" yWindow="-108" windowWidth="23256" windowHeight="12456" xr2:uid="{00000000-000D-0000-FFFF-FFFF00000000}"/>
  </bookViews>
  <sheets>
    <sheet name="汇总汇报报告（含海景嘉福）" sheetId="1" r:id="rId1"/>
    <sheet name="汇总汇报报告（含海景嘉福） (2)" sheetId="10" state="hidden" r:id="rId2"/>
    <sheet name="海景嘉福汇报报告" sheetId="8" r:id="rId3"/>
    <sheet name="永华工业园" sheetId="4" r:id="rId4"/>
    <sheet name="南站" sheetId="5" r:id="rId5"/>
    <sheet name="金山湖" sheetId="6" r:id="rId6"/>
    <sheet name="海景嘉福" sheetId="9" state="hidden" r:id="rId7"/>
  </sheets>
  <externalReferences>
    <externalReference r:id="rId8"/>
    <externalReference r:id="rId9"/>
    <externalReference r:id="rId10"/>
  </externalReferences>
  <calcPr calcId="191029"/>
</workbook>
</file>

<file path=xl/calcChain.xml><?xml version="1.0" encoding="utf-8"?>
<calcChain xmlns="http://schemas.openxmlformats.org/spreadsheetml/2006/main">
  <c r="BN21" i="1" l="1"/>
  <c r="BN33" i="1"/>
  <c r="BN44" i="1"/>
  <c r="BN60" i="1"/>
  <c r="BN13" i="1"/>
  <c r="BK15" i="1"/>
  <c r="BL15" i="1" s="1"/>
  <c r="BK14" i="1"/>
  <c r="BJ15" i="1"/>
  <c r="BJ14" i="1"/>
  <c r="BL56" i="1"/>
  <c r="BL39" i="1"/>
  <c r="BL34" i="1"/>
  <c r="BL27" i="1"/>
  <c r="BK39" i="1"/>
  <c r="BL29" i="1"/>
  <c r="BK29" i="1"/>
  <c r="BL22" i="1"/>
  <c r="BL23" i="1"/>
  <c r="BL24" i="1"/>
  <c r="BL25" i="1"/>
  <c r="BL26" i="1"/>
  <c r="BL28" i="1"/>
  <c r="BL21" i="1"/>
  <c r="BJ70" i="1"/>
  <c r="BK28" i="1"/>
  <c r="BK27" i="1"/>
  <c r="BK24" i="1"/>
  <c r="BK21" i="1"/>
  <c r="BJ65" i="1"/>
  <c r="BK65" i="1"/>
  <c r="BJ63" i="1"/>
  <c r="BK63" i="1"/>
  <c r="BJ61" i="1"/>
  <c r="BK61" i="1"/>
  <c r="BL70" i="1" s="1"/>
  <c r="F186" i="8"/>
  <c r="BS14" i="10"/>
  <c r="AO23" i="10"/>
  <c r="BH64" i="1"/>
  <c r="BH65" i="1"/>
  <c r="BH63" i="1"/>
  <c r="BH61" i="1"/>
  <c r="BH70" i="1" s="1"/>
  <c r="BK55" i="1"/>
  <c r="BL55" i="1" s="1"/>
  <c r="BH48" i="1"/>
  <c r="BH49" i="1"/>
  <c r="BH50" i="1"/>
  <c r="BH47" i="1"/>
  <c r="BH45" i="1"/>
  <c r="BH55" i="1" s="1"/>
  <c r="BL53" i="1"/>
  <c r="BJ52" i="1"/>
  <c r="BJ46" i="1" s="1"/>
  <c r="BL47" i="1"/>
  <c r="BK34" i="1"/>
  <c r="BK35" i="1" s="1"/>
  <c r="BL35" i="1" s="1"/>
  <c r="BL40" i="1" s="1"/>
  <c r="BJ34" i="1"/>
  <c r="BJ39" i="1" s="1"/>
  <c r="BH38" i="1"/>
  <c r="BH37" i="1"/>
  <c r="BH36" i="1"/>
  <c r="BH34" i="1"/>
  <c r="BH39" i="1" s="1"/>
  <c r="BJ62" i="1" l="1"/>
  <c r="BJ71" i="1"/>
  <c r="BH62" i="1"/>
  <c r="BH71" i="1" s="1"/>
  <c r="BK46" i="1"/>
  <c r="BL46" i="1" s="1"/>
  <c r="BK62" i="1"/>
  <c r="BK71" i="1" s="1"/>
  <c r="BH46" i="1"/>
  <c r="BH56" i="1" s="1"/>
  <c r="BJ35" i="1"/>
  <c r="BJ40" i="1" s="1"/>
  <c r="BK40" i="1"/>
  <c r="BH35" i="1"/>
  <c r="BH40" i="1" s="1"/>
  <c r="BJ28" i="1"/>
  <c r="BJ24" i="1"/>
  <c r="BJ25" i="1"/>
  <c r="BJ26" i="1"/>
  <c r="BJ27" i="1"/>
  <c r="BJ23" i="1"/>
  <c r="BJ21" i="1"/>
  <c r="BH24" i="1"/>
  <c r="BH25" i="1"/>
  <c r="BH26" i="1"/>
  <c r="BH23" i="1"/>
  <c r="BH21" i="1"/>
  <c r="BK22" i="1"/>
  <c r="BI22" i="1"/>
  <c r="AT22" i="1"/>
  <c r="AU22" i="1"/>
  <c r="AQ22" i="1"/>
  <c r="AR22" i="1"/>
  <c r="AN22" i="1"/>
  <c r="AO22" i="1"/>
  <c r="AP22" i="1"/>
  <c r="AS22" i="1"/>
  <c r="AW22" i="1"/>
  <c r="AY22" i="1"/>
  <c r="BA22" i="1"/>
  <c r="BB22" i="1"/>
  <c r="BC22" i="1"/>
  <c r="BC21" i="1"/>
  <c r="BB21" i="1"/>
  <c r="BA21" i="1"/>
  <c r="AY21" i="1"/>
  <c r="AW21" i="1"/>
  <c r="AU21" i="1"/>
  <c r="AT21" i="1"/>
  <c r="AS21" i="1"/>
  <c r="AQ21" i="1"/>
  <c r="AR21" i="1"/>
  <c r="AP21" i="1"/>
  <c r="AO21" i="1"/>
  <c r="AN21" i="1"/>
  <c r="G171" i="8"/>
  <c r="U235" i="9"/>
  <c r="S235" i="9"/>
  <c r="S234" i="9"/>
  <c r="S233" i="9"/>
  <c r="K233" i="9" s="1"/>
  <c r="K232" i="9"/>
  <c r="D221" i="9"/>
  <c r="U140" i="9"/>
  <c r="U141" i="9" s="1"/>
  <c r="Q140" i="9"/>
  <c r="U138" i="9"/>
  <c r="D138" i="9"/>
  <c r="Q137" i="9"/>
  <c r="D137" i="9"/>
  <c r="C137" i="9"/>
  <c r="U136" i="9"/>
  <c r="D136" i="9"/>
  <c r="C136" i="9"/>
  <c r="D135" i="9"/>
  <c r="C135" i="9"/>
  <c r="D134" i="9"/>
  <c r="C134" i="9"/>
  <c r="U133" i="9"/>
  <c r="D133" i="9"/>
  <c r="C133" i="9"/>
  <c r="U131" i="9"/>
  <c r="D129" i="9"/>
  <c r="D128" i="9"/>
  <c r="D127" i="9"/>
  <c r="C127" i="9"/>
  <c r="U126" i="9"/>
  <c r="B126" i="9"/>
  <c r="B125" i="9"/>
  <c r="B124" i="9"/>
  <c r="B123" i="9"/>
  <c r="AD122" i="9"/>
  <c r="AC122" i="9"/>
  <c r="AB122" i="9"/>
  <c r="AA122" i="9"/>
  <c r="Z122" i="9"/>
  <c r="Y122" i="9"/>
  <c r="X122" i="9"/>
  <c r="U122" i="9"/>
  <c r="Q122" i="9"/>
  <c r="D122" i="9"/>
  <c r="C122" i="9"/>
  <c r="U121" i="9"/>
  <c r="D121" i="9"/>
  <c r="C121" i="9"/>
  <c r="U120" i="9"/>
  <c r="D120" i="9"/>
  <c r="C120" i="9"/>
  <c r="U119" i="9"/>
  <c r="D119" i="9"/>
  <c r="C119" i="9"/>
  <c r="X118" i="9"/>
  <c r="U118" i="9"/>
  <c r="Q118" i="9"/>
  <c r="D118" i="9"/>
  <c r="C118" i="9"/>
  <c r="Q115" i="9"/>
  <c r="S115" i="9" s="1"/>
  <c r="J115" i="9"/>
  <c r="K115" i="9" s="1"/>
  <c r="D115" i="9"/>
  <c r="Q114" i="9"/>
  <c r="S114" i="9" s="1"/>
  <c r="J114" i="9"/>
  <c r="K114" i="9" s="1"/>
  <c r="D114" i="9"/>
  <c r="X113" i="9"/>
  <c r="Z113" i="9" s="1"/>
  <c r="AA113" i="9" s="1"/>
  <c r="Q113" i="9"/>
  <c r="S113" i="9" s="1"/>
  <c r="J113" i="9"/>
  <c r="K113" i="9" s="1"/>
  <c r="D113" i="9"/>
  <c r="D112" i="9"/>
  <c r="Z111" i="9"/>
  <c r="AA111" i="9" s="1"/>
  <c r="S111" i="9"/>
  <c r="Q111" i="9"/>
  <c r="AA110" i="9"/>
  <c r="Z110" i="9"/>
  <c r="S110" i="9"/>
  <c r="Z109" i="9"/>
  <c r="AA109" i="9" s="1"/>
  <c r="S109" i="9"/>
  <c r="Q109" i="9"/>
  <c r="K109" i="9"/>
  <c r="J109" i="9"/>
  <c r="D109" i="9"/>
  <c r="X108" i="9"/>
  <c r="Z108" i="9" s="1"/>
  <c r="AA108" i="9" s="1"/>
  <c r="S108" i="9"/>
  <c r="J108" i="9"/>
  <c r="K108" i="9" s="1"/>
  <c r="Q107" i="9"/>
  <c r="Q127" i="9" s="1"/>
  <c r="J107" i="9"/>
  <c r="K107" i="9" s="1"/>
  <c r="D106" i="9"/>
  <c r="D105" i="9"/>
  <c r="Z104" i="9"/>
  <c r="AA104" i="9" s="1"/>
  <c r="S104" i="9"/>
  <c r="Z103" i="9"/>
  <c r="AA103" i="9" s="1"/>
  <c r="S103" i="9"/>
  <c r="AA102" i="9"/>
  <c r="Z102" i="9"/>
  <c r="S102" i="9"/>
  <c r="Q102" i="9"/>
  <c r="J102" i="9"/>
  <c r="D102" i="9"/>
  <c r="Z101" i="9"/>
  <c r="AA101" i="9" s="1"/>
  <c r="S101" i="9"/>
  <c r="Q100" i="9"/>
  <c r="X100" i="9" s="1"/>
  <c r="P100" i="9"/>
  <c r="J100" i="9"/>
  <c r="D99" i="9"/>
  <c r="D98" i="9"/>
  <c r="Q97" i="9"/>
  <c r="X97" i="9" s="1"/>
  <c r="Z97" i="9" s="1"/>
  <c r="AA97" i="9" s="1"/>
  <c r="J97" i="9"/>
  <c r="K97" i="9" s="1"/>
  <c r="D97" i="9"/>
  <c r="Q96" i="9"/>
  <c r="X96" i="9" s="1"/>
  <c r="J96" i="9"/>
  <c r="K96" i="9" s="1"/>
  <c r="D96" i="9"/>
  <c r="R95" i="9"/>
  <c r="D95" i="9"/>
  <c r="Q94" i="9"/>
  <c r="S94" i="9" s="1"/>
  <c r="J94" i="9"/>
  <c r="K94" i="9" s="1"/>
  <c r="D94" i="9"/>
  <c r="Q93" i="9"/>
  <c r="S93" i="9" s="1"/>
  <c r="J93" i="9"/>
  <c r="K93" i="9" s="1"/>
  <c r="D93" i="9"/>
  <c r="Q92" i="9"/>
  <c r="S92" i="9" s="1"/>
  <c r="J92" i="9"/>
  <c r="K92" i="9" s="1"/>
  <c r="Q91" i="9"/>
  <c r="X91" i="9" s="1"/>
  <c r="Z91" i="9" s="1"/>
  <c r="AA91" i="9" s="1"/>
  <c r="J91" i="9"/>
  <c r="K91" i="9" s="1"/>
  <c r="D91" i="9"/>
  <c r="Q90" i="9"/>
  <c r="X90" i="9" s="1"/>
  <c r="Z90" i="9" s="1"/>
  <c r="AA90" i="9" s="1"/>
  <c r="J90" i="9"/>
  <c r="K90" i="9" s="1"/>
  <c r="D90" i="9"/>
  <c r="Q89" i="9"/>
  <c r="X89" i="9" s="1"/>
  <c r="Z89" i="9" s="1"/>
  <c r="AA89" i="9" s="1"/>
  <c r="P89" i="9"/>
  <c r="P108" i="9" s="1"/>
  <c r="P87" i="9" s="1"/>
  <c r="J89" i="9"/>
  <c r="K89" i="9" s="1"/>
  <c r="D89" i="9"/>
  <c r="Q88" i="9"/>
  <c r="S88" i="9" s="1"/>
  <c r="J88" i="9"/>
  <c r="K88" i="9" s="1"/>
  <c r="D88" i="9"/>
  <c r="J87" i="9"/>
  <c r="K87" i="9" s="1"/>
  <c r="D87" i="9"/>
  <c r="Q86" i="9"/>
  <c r="X86" i="9" s="1"/>
  <c r="Z86" i="9" s="1"/>
  <c r="AA86" i="9" s="1"/>
  <c r="K86" i="9"/>
  <c r="J86" i="9"/>
  <c r="D86" i="9"/>
  <c r="Q85" i="9"/>
  <c r="X85" i="9" s="1"/>
  <c r="Z85" i="9" s="1"/>
  <c r="J85" i="9"/>
  <c r="K85" i="9" s="1"/>
  <c r="D85" i="9"/>
  <c r="V83" i="9"/>
  <c r="D83" i="9"/>
  <c r="C83" i="9"/>
  <c r="AB82" i="9"/>
  <c r="V82" i="9"/>
  <c r="U82" i="9"/>
  <c r="D82" i="9"/>
  <c r="C82" i="9"/>
  <c r="V81" i="9"/>
  <c r="U81" i="9"/>
  <c r="D81" i="9"/>
  <c r="C81" i="9"/>
  <c r="AG80" i="9"/>
  <c r="AB80" i="9"/>
  <c r="V80" i="9"/>
  <c r="U80" i="9"/>
  <c r="D80" i="9"/>
  <c r="C80" i="9"/>
  <c r="AC79" i="9"/>
  <c r="AB79" i="9"/>
  <c r="W79" i="9"/>
  <c r="V79" i="9"/>
  <c r="U79" i="9"/>
  <c r="D79" i="9"/>
  <c r="AC78" i="9"/>
  <c r="AB78" i="9"/>
  <c r="J78" i="9"/>
  <c r="K78" i="9" s="1"/>
  <c r="Q78" i="9" s="1"/>
  <c r="AC77" i="9"/>
  <c r="AB77" i="9"/>
  <c r="Q77" i="9"/>
  <c r="S77" i="9" s="1"/>
  <c r="J77" i="9"/>
  <c r="K77" i="9" s="1"/>
  <c r="AF76" i="9"/>
  <c r="AC76" i="9"/>
  <c r="AB76" i="9"/>
  <c r="Z76" i="9"/>
  <c r="AG76" i="9" s="1"/>
  <c r="Y76" i="9"/>
  <c r="W76" i="9"/>
  <c r="V76" i="9"/>
  <c r="S76" i="9"/>
  <c r="R76" i="9"/>
  <c r="D76" i="9"/>
  <c r="AF75" i="9"/>
  <c r="AC75" i="9"/>
  <c r="AB75" i="9"/>
  <c r="Z75" i="9"/>
  <c r="AA75" i="9" s="1"/>
  <c r="Y75" i="9"/>
  <c r="W75" i="9"/>
  <c r="V75" i="9"/>
  <c r="S75" i="9"/>
  <c r="R75" i="9"/>
  <c r="D75" i="9"/>
  <c r="AC74" i="9"/>
  <c r="AB74" i="9"/>
  <c r="W74" i="9"/>
  <c r="V74" i="9"/>
  <c r="Q74" i="9"/>
  <c r="S74" i="9" s="1"/>
  <c r="J74" i="9"/>
  <c r="K74" i="9" s="1"/>
  <c r="D74" i="9"/>
  <c r="AC73" i="9"/>
  <c r="AB73" i="9"/>
  <c r="V73" i="9"/>
  <c r="U73" i="9"/>
  <c r="D73" i="9"/>
  <c r="C73" i="9"/>
  <c r="AG72" i="9"/>
  <c r="AF72" i="9"/>
  <c r="AC72" i="9"/>
  <c r="AB72" i="9"/>
  <c r="AA72" i="9"/>
  <c r="Y72" i="9"/>
  <c r="V72" i="9"/>
  <c r="R72" i="9"/>
  <c r="D72" i="9"/>
  <c r="AC71" i="9"/>
  <c r="AB71" i="9"/>
  <c r="V71" i="9"/>
  <c r="R71" i="9"/>
  <c r="Q71" i="9"/>
  <c r="X71" i="9" s="1"/>
  <c r="Y71" i="9" s="1"/>
  <c r="J71" i="9"/>
  <c r="K71" i="9" s="1"/>
  <c r="D71" i="9"/>
  <c r="AC70" i="9"/>
  <c r="AB70" i="9"/>
  <c r="V70" i="9"/>
  <c r="Q70" i="9"/>
  <c r="S70" i="9" s="1"/>
  <c r="J70" i="9"/>
  <c r="K70" i="9" s="1"/>
  <c r="D70" i="9"/>
  <c r="AC69" i="9"/>
  <c r="AB69" i="9"/>
  <c r="V69" i="9"/>
  <c r="D69" i="9"/>
  <c r="C69" i="9"/>
  <c r="AF68" i="9"/>
  <c r="AC68" i="9"/>
  <c r="AB68" i="9"/>
  <c r="Z68" i="9"/>
  <c r="AA68" i="9" s="1"/>
  <c r="Y68" i="9"/>
  <c r="V68" i="9"/>
  <c r="S68" i="9"/>
  <c r="R68" i="9"/>
  <c r="Q68" i="9"/>
  <c r="K68" i="9"/>
  <c r="J68" i="9"/>
  <c r="D68" i="9"/>
  <c r="AC67" i="9"/>
  <c r="AB67" i="9"/>
  <c r="V67" i="9"/>
  <c r="U67" i="9"/>
  <c r="J67" i="9"/>
  <c r="J66" i="9" s="1"/>
  <c r="D67" i="9"/>
  <c r="AC66" i="9"/>
  <c r="AB66" i="9"/>
  <c r="V66" i="9"/>
  <c r="D66" i="9"/>
  <c r="C66" i="9"/>
  <c r="AC65" i="9"/>
  <c r="AB65" i="9"/>
  <c r="V65" i="9"/>
  <c r="Q65" i="9"/>
  <c r="X65" i="9" s="1"/>
  <c r="J65" i="9"/>
  <c r="K65" i="9" s="1"/>
  <c r="D65" i="9"/>
  <c r="AC64" i="9"/>
  <c r="AB64" i="9"/>
  <c r="W64" i="9"/>
  <c r="V64" i="9"/>
  <c r="U64" i="9"/>
  <c r="D64" i="9"/>
  <c r="C64" i="9"/>
  <c r="AB63" i="9"/>
  <c r="AA63" i="9"/>
  <c r="Z63" i="9"/>
  <c r="V63" i="9"/>
  <c r="U63" i="9"/>
  <c r="S63" i="9"/>
  <c r="D63" i="9"/>
  <c r="C63" i="9"/>
  <c r="AG62" i="9"/>
  <c r="AF62" i="9"/>
  <c r="AC62" i="9"/>
  <c r="AB62" i="9"/>
  <c r="Y62" i="9"/>
  <c r="V62" i="9"/>
  <c r="R62" i="9"/>
  <c r="D62" i="9"/>
  <c r="AG61" i="9"/>
  <c r="AC61" i="9"/>
  <c r="AB61" i="9"/>
  <c r="Z61" i="9"/>
  <c r="V61" i="9"/>
  <c r="P61" i="9"/>
  <c r="D61" i="9"/>
  <c r="AG60" i="9"/>
  <c r="AC60" i="9"/>
  <c r="AB60" i="9"/>
  <c r="Z60" i="9"/>
  <c r="V60" i="9"/>
  <c r="U60" i="9"/>
  <c r="D60" i="9"/>
  <c r="AG59" i="9"/>
  <c r="AC59" i="9"/>
  <c r="AB59" i="9"/>
  <c r="Z59" i="9"/>
  <c r="V59" i="9"/>
  <c r="U59" i="9"/>
  <c r="J59" i="9"/>
  <c r="D59" i="9"/>
  <c r="C59" i="9"/>
  <c r="AG58" i="9"/>
  <c r="AC58" i="9"/>
  <c r="AB58" i="9"/>
  <c r="V58" i="9"/>
  <c r="AG57" i="9"/>
  <c r="AC57" i="9"/>
  <c r="AB57" i="9"/>
  <c r="Z57" i="9"/>
  <c r="W57" i="9"/>
  <c r="V57" i="9"/>
  <c r="K57" i="9"/>
  <c r="K56" i="9" s="1"/>
  <c r="J57" i="9"/>
  <c r="AG56" i="9"/>
  <c r="AC56" i="9"/>
  <c r="AB56" i="9"/>
  <c r="Z56" i="9"/>
  <c r="W56" i="9"/>
  <c r="V56" i="9"/>
  <c r="Q56" i="9"/>
  <c r="J56" i="9"/>
  <c r="D56" i="9"/>
  <c r="AB55" i="9"/>
  <c r="V55" i="9"/>
  <c r="U55" i="9"/>
  <c r="D55" i="9"/>
  <c r="C55" i="9"/>
  <c r="AG54" i="9"/>
  <c r="AF54" i="9"/>
  <c r="AC54" i="9"/>
  <c r="AB54" i="9"/>
  <c r="Z54" i="9"/>
  <c r="Y54" i="9"/>
  <c r="X54" i="9"/>
  <c r="V54" i="9"/>
  <c r="R54" i="9"/>
  <c r="D54" i="9"/>
  <c r="AG53" i="9"/>
  <c r="AF53" i="9"/>
  <c r="AC53" i="9"/>
  <c r="AB53" i="9"/>
  <c r="Z53" i="9"/>
  <c r="Y53" i="9"/>
  <c r="X53" i="9"/>
  <c r="V53" i="9"/>
  <c r="R53" i="9"/>
  <c r="D53" i="9"/>
  <c r="AG52" i="9"/>
  <c r="AF52" i="9"/>
  <c r="AC52" i="9"/>
  <c r="AB52" i="9"/>
  <c r="Z52" i="9"/>
  <c r="Y52" i="9"/>
  <c r="X52" i="9"/>
  <c r="V52" i="9"/>
  <c r="R52" i="9"/>
  <c r="D52" i="9"/>
  <c r="AG51" i="9"/>
  <c r="AF51" i="9"/>
  <c r="AC51" i="9"/>
  <c r="AB51" i="9"/>
  <c r="Z51" i="9"/>
  <c r="Y51" i="9"/>
  <c r="X51" i="9"/>
  <c r="V51" i="9"/>
  <c r="R51" i="9"/>
  <c r="D51" i="9"/>
  <c r="AG50" i="9"/>
  <c r="AF50" i="9"/>
  <c r="AC50" i="9"/>
  <c r="AB50" i="9"/>
  <c r="Z50" i="9"/>
  <c r="Y50" i="9"/>
  <c r="X50" i="9"/>
  <c r="V50" i="9"/>
  <c r="U50" i="9"/>
  <c r="R50" i="9"/>
  <c r="D50" i="9"/>
  <c r="AB26" i="9"/>
  <c r="X26" i="9"/>
  <c r="Q26" i="9"/>
  <c r="D226" i="6"/>
  <c r="D225" i="6"/>
  <c r="C222" i="6"/>
  <c r="D222" i="6" s="1"/>
  <c r="C221" i="6"/>
  <c r="D221" i="6" s="1"/>
  <c r="D219" i="6"/>
  <c r="D218" i="6"/>
  <c r="D217" i="6"/>
  <c r="C217" i="6"/>
  <c r="P213" i="6"/>
  <c r="P215" i="6" s="1"/>
  <c r="P122" i="6" s="1"/>
  <c r="C211" i="6"/>
  <c r="D211" i="6" s="1"/>
  <c r="C210" i="6"/>
  <c r="D210" i="6" s="1"/>
  <c r="C209" i="6"/>
  <c r="D209" i="6" s="1"/>
  <c r="P208" i="6"/>
  <c r="C208" i="6"/>
  <c r="D208" i="6" s="1"/>
  <c r="K205" i="6"/>
  <c r="D205" i="6"/>
  <c r="D204" i="6"/>
  <c r="D203" i="6"/>
  <c r="K202" i="6"/>
  <c r="D202" i="6"/>
  <c r="D199" i="6"/>
  <c r="K198" i="6"/>
  <c r="K197" i="6"/>
  <c r="D196" i="6"/>
  <c r="D195" i="6"/>
  <c r="D192" i="6"/>
  <c r="K190" i="6"/>
  <c r="K189" i="6" s="1"/>
  <c r="K188" i="6" s="1"/>
  <c r="D189" i="6"/>
  <c r="D188" i="6"/>
  <c r="K187" i="6"/>
  <c r="D187" i="6"/>
  <c r="K186" i="6"/>
  <c r="D186" i="6"/>
  <c r="D185" i="6"/>
  <c r="K184" i="6"/>
  <c r="D184" i="6"/>
  <c r="K183" i="6"/>
  <c r="D183" i="6"/>
  <c r="K182" i="6"/>
  <c r="D182" i="6"/>
  <c r="K181" i="6"/>
  <c r="D181" i="6"/>
  <c r="K180" i="6"/>
  <c r="D180" i="6"/>
  <c r="K179" i="6"/>
  <c r="D179" i="6"/>
  <c r="K178" i="6"/>
  <c r="D178" i="6"/>
  <c r="K177" i="6"/>
  <c r="D177" i="6"/>
  <c r="K176" i="6"/>
  <c r="D176" i="6"/>
  <c r="C174" i="6"/>
  <c r="D174" i="6" s="1"/>
  <c r="D173" i="6"/>
  <c r="Q172" i="6"/>
  <c r="Q169" i="6"/>
  <c r="D169" i="6"/>
  <c r="Q168" i="6"/>
  <c r="D168" i="6"/>
  <c r="Q167" i="6"/>
  <c r="P167" i="6"/>
  <c r="D167" i="6"/>
  <c r="P166" i="6"/>
  <c r="Q166" i="6" s="1"/>
  <c r="C166" i="6"/>
  <c r="D166" i="6" s="1"/>
  <c r="Q165" i="6"/>
  <c r="D165" i="6"/>
  <c r="Q164" i="6"/>
  <c r="D164" i="6"/>
  <c r="Q163" i="6"/>
  <c r="C163" i="6"/>
  <c r="D163" i="6" s="1"/>
  <c r="Q162" i="6"/>
  <c r="P162" i="6"/>
  <c r="K162" i="6"/>
  <c r="D162" i="6"/>
  <c r="Q161" i="6"/>
  <c r="D161" i="6"/>
  <c r="Q160" i="6"/>
  <c r="C160" i="6"/>
  <c r="D160" i="6" s="1"/>
  <c r="P159" i="6"/>
  <c r="Q159" i="6" s="1"/>
  <c r="K159" i="6"/>
  <c r="D159" i="6"/>
  <c r="Q158" i="6"/>
  <c r="K158" i="6"/>
  <c r="D158" i="6"/>
  <c r="C157" i="6"/>
  <c r="D157" i="6" s="1"/>
  <c r="P156" i="6"/>
  <c r="Q156" i="6" s="1"/>
  <c r="D156" i="6"/>
  <c r="Q155" i="6"/>
  <c r="C155" i="6"/>
  <c r="Q154" i="6"/>
  <c r="D154" i="6"/>
  <c r="Q153" i="6"/>
  <c r="D153" i="6"/>
  <c r="C153" i="6"/>
  <c r="P150" i="6"/>
  <c r="Q150" i="6" s="1"/>
  <c r="P152" i="6" s="1"/>
  <c r="Q152" i="6" s="1"/>
  <c r="K150" i="6"/>
  <c r="D150" i="6"/>
  <c r="Q149" i="6"/>
  <c r="P149" i="6"/>
  <c r="Q148" i="6"/>
  <c r="P147" i="6"/>
  <c r="P57" i="6" s="1"/>
  <c r="Q57" i="6" s="1"/>
  <c r="K147" i="6"/>
  <c r="D147" i="6"/>
  <c r="Q146" i="6"/>
  <c r="Q145" i="6"/>
  <c r="Q144" i="6"/>
  <c r="Q143" i="6"/>
  <c r="Q142" i="6"/>
  <c r="C142" i="6"/>
  <c r="C170" i="6" s="1"/>
  <c r="P139" i="6"/>
  <c r="P138" i="6"/>
  <c r="D138" i="6"/>
  <c r="P137" i="6"/>
  <c r="D137" i="6"/>
  <c r="D136" i="6"/>
  <c r="C136" i="6"/>
  <c r="D135" i="6"/>
  <c r="C135" i="6"/>
  <c r="P134" i="6"/>
  <c r="D134" i="6"/>
  <c r="C134" i="6"/>
  <c r="P133" i="6"/>
  <c r="D133" i="6"/>
  <c r="C133" i="6"/>
  <c r="C127" i="6"/>
  <c r="D126" i="6"/>
  <c r="C126" i="6"/>
  <c r="C125" i="6"/>
  <c r="P124" i="6"/>
  <c r="BJ45" i="1" s="1"/>
  <c r="BK45" i="1" s="1"/>
  <c r="BK56" i="1" s="1"/>
  <c r="D124" i="6"/>
  <c r="C124" i="6"/>
  <c r="B123" i="6"/>
  <c r="B122" i="6"/>
  <c r="B121" i="6"/>
  <c r="B120" i="6"/>
  <c r="D119" i="6"/>
  <c r="C119" i="6"/>
  <c r="D118" i="6"/>
  <c r="C118" i="6"/>
  <c r="P117" i="6"/>
  <c r="D117" i="6"/>
  <c r="C117" i="6"/>
  <c r="P116" i="6"/>
  <c r="D116" i="6"/>
  <c r="C116" i="6"/>
  <c r="P115" i="6"/>
  <c r="D115" i="6"/>
  <c r="C115" i="6"/>
  <c r="K112" i="6"/>
  <c r="N112" i="6" s="1"/>
  <c r="D112" i="6"/>
  <c r="D111" i="6"/>
  <c r="D110" i="6"/>
  <c r="K109" i="6"/>
  <c r="D109" i="6"/>
  <c r="D106" i="6"/>
  <c r="K105" i="6"/>
  <c r="K103" i="6" s="1"/>
  <c r="K102" i="6" s="1"/>
  <c r="N102" i="6" s="1"/>
  <c r="N104" i="6"/>
  <c r="K104" i="6"/>
  <c r="D103" i="6"/>
  <c r="D102" i="6"/>
  <c r="N101" i="6"/>
  <c r="N100" i="6"/>
  <c r="N99" i="6"/>
  <c r="D99" i="6"/>
  <c r="N98" i="6"/>
  <c r="K97" i="6"/>
  <c r="N97" i="6" s="1"/>
  <c r="K96" i="6"/>
  <c r="D96" i="6"/>
  <c r="D95" i="6"/>
  <c r="K94" i="6"/>
  <c r="N94" i="6" s="1"/>
  <c r="D94" i="6"/>
  <c r="N93" i="6"/>
  <c r="K93" i="6"/>
  <c r="D93" i="6"/>
  <c r="K92" i="6"/>
  <c r="N92" i="6" s="1"/>
  <c r="D92" i="6"/>
  <c r="K91" i="6"/>
  <c r="N91" i="6" s="1"/>
  <c r="D91" i="6"/>
  <c r="K90" i="6"/>
  <c r="N90" i="6" s="1"/>
  <c r="D90" i="6"/>
  <c r="N89" i="6"/>
  <c r="K89" i="6"/>
  <c r="D89" i="6"/>
  <c r="K88" i="6"/>
  <c r="N88" i="6" s="1"/>
  <c r="D88" i="6"/>
  <c r="K87" i="6"/>
  <c r="N87" i="6" s="1"/>
  <c r="D87" i="6"/>
  <c r="K86" i="6"/>
  <c r="N86" i="6" s="1"/>
  <c r="D86" i="6"/>
  <c r="K85" i="6"/>
  <c r="N85" i="6" s="1"/>
  <c r="D85" i="6"/>
  <c r="K84" i="6"/>
  <c r="N84" i="6" s="1"/>
  <c r="D84" i="6"/>
  <c r="K83" i="6"/>
  <c r="N83" i="6" s="1"/>
  <c r="D83" i="6"/>
  <c r="D81" i="6"/>
  <c r="C81" i="6"/>
  <c r="D80" i="6"/>
  <c r="P79" i="6"/>
  <c r="Q79" i="6" s="1"/>
  <c r="D79" i="6"/>
  <c r="C79" i="6"/>
  <c r="D78" i="6"/>
  <c r="C78" i="6"/>
  <c r="R77" i="6"/>
  <c r="D77" i="6"/>
  <c r="C77" i="6"/>
  <c r="R76" i="6"/>
  <c r="P76" i="6"/>
  <c r="Q76" i="6" s="1"/>
  <c r="N76" i="6"/>
  <c r="D76" i="6"/>
  <c r="R75" i="6"/>
  <c r="P75" i="6"/>
  <c r="Q75" i="6" s="1"/>
  <c r="N75" i="6"/>
  <c r="D75" i="6"/>
  <c r="R74" i="6"/>
  <c r="P74" i="6"/>
  <c r="Q74" i="6" s="1"/>
  <c r="N74" i="6"/>
  <c r="L74" i="6"/>
  <c r="K74" i="6"/>
  <c r="D74" i="6"/>
  <c r="Q73" i="6"/>
  <c r="N73" i="6"/>
  <c r="L73" i="6"/>
  <c r="K73" i="6"/>
  <c r="D73" i="6"/>
  <c r="C73" i="6"/>
  <c r="Q72" i="6"/>
  <c r="D72" i="6"/>
  <c r="Q71" i="6"/>
  <c r="D71" i="6"/>
  <c r="Q70" i="6"/>
  <c r="D70" i="6"/>
  <c r="C70" i="6"/>
  <c r="R69" i="6"/>
  <c r="P69" i="6"/>
  <c r="Q69" i="6" s="1"/>
  <c r="K69" i="6"/>
  <c r="N69" i="6" s="1"/>
  <c r="D69" i="6"/>
  <c r="Q68" i="6"/>
  <c r="D68" i="6"/>
  <c r="Q67" i="6"/>
  <c r="D67" i="6"/>
  <c r="C67" i="6"/>
  <c r="R66" i="6"/>
  <c r="N66" i="6"/>
  <c r="K66" i="6"/>
  <c r="K67" i="6" s="1"/>
  <c r="D66" i="6"/>
  <c r="R65" i="6"/>
  <c r="P65" i="6"/>
  <c r="Q65" i="6" s="1"/>
  <c r="K65" i="6"/>
  <c r="M65" i="6" s="1"/>
  <c r="D65" i="6"/>
  <c r="R64" i="6"/>
  <c r="D64" i="6"/>
  <c r="C64" i="6"/>
  <c r="Q63" i="6"/>
  <c r="D63" i="6"/>
  <c r="Q62" i="6"/>
  <c r="D62" i="6"/>
  <c r="Q61" i="6"/>
  <c r="D61" i="6"/>
  <c r="R60" i="6"/>
  <c r="M60" i="6"/>
  <c r="K60" i="6"/>
  <c r="D60" i="6"/>
  <c r="R59" i="6"/>
  <c r="P59" i="6"/>
  <c r="Q59" i="6" s="1"/>
  <c r="R58" i="6"/>
  <c r="P58" i="6"/>
  <c r="Q58" i="6" s="1"/>
  <c r="K58" i="6"/>
  <c r="L58" i="6" s="1"/>
  <c r="R57" i="6"/>
  <c r="M57" i="6"/>
  <c r="K57" i="6"/>
  <c r="D57" i="6"/>
  <c r="R56" i="6"/>
  <c r="P56" i="6"/>
  <c r="Q56" i="6" s="1"/>
  <c r="R55" i="6"/>
  <c r="Q55" i="6"/>
  <c r="P55" i="6"/>
  <c r="R54" i="6"/>
  <c r="P54" i="6"/>
  <c r="Q54" i="6" s="1"/>
  <c r="R53" i="6"/>
  <c r="P53" i="6"/>
  <c r="Q53" i="6" s="1"/>
  <c r="P52" i="6"/>
  <c r="Q52" i="6" s="1"/>
  <c r="D52" i="6"/>
  <c r="C52" i="6"/>
  <c r="D225" i="5"/>
  <c r="D224" i="5"/>
  <c r="D223" i="5"/>
  <c r="D222" i="5"/>
  <c r="D221" i="5"/>
  <c r="D220" i="5"/>
  <c r="D218" i="5"/>
  <c r="D217" i="5"/>
  <c r="D216" i="5"/>
  <c r="D211" i="5"/>
  <c r="D210" i="5"/>
  <c r="D209" i="5"/>
  <c r="D208" i="5"/>
  <c r="D207" i="5"/>
  <c r="D204" i="5"/>
  <c r="D203" i="5"/>
  <c r="D202" i="5"/>
  <c r="D201" i="5"/>
  <c r="D198" i="5"/>
  <c r="D195" i="5"/>
  <c r="D194" i="5"/>
  <c r="D191" i="5"/>
  <c r="D188" i="5"/>
  <c r="D187" i="5"/>
  <c r="D186" i="5"/>
  <c r="D185" i="5"/>
  <c r="D184" i="5"/>
  <c r="D183" i="5"/>
  <c r="D182" i="5"/>
  <c r="D181" i="5"/>
  <c r="D180" i="5"/>
  <c r="D179" i="5"/>
  <c r="D178" i="5"/>
  <c r="D177" i="5"/>
  <c r="D176" i="5"/>
  <c r="D175" i="5"/>
  <c r="D173" i="5"/>
  <c r="D172" i="5"/>
  <c r="D171" i="5"/>
  <c r="D170" i="5"/>
  <c r="D169" i="5"/>
  <c r="D168" i="5"/>
  <c r="D167" i="5"/>
  <c r="D166" i="5"/>
  <c r="D165" i="5"/>
  <c r="D164" i="5"/>
  <c r="D163" i="5"/>
  <c r="D162" i="5"/>
  <c r="D161" i="5"/>
  <c r="D160" i="5"/>
  <c r="D159" i="5"/>
  <c r="D158" i="5"/>
  <c r="D157" i="5"/>
  <c r="D156" i="5"/>
  <c r="D155" i="5"/>
  <c r="D153" i="5"/>
  <c r="D152" i="5"/>
  <c r="D149" i="5"/>
  <c r="D146" i="5"/>
  <c r="D141" i="5"/>
  <c r="G137" i="5"/>
  <c r="D137" i="5"/>
  <c r="G136" i="5"/>
  <c r="D136" i="5"/>
  <c r="G135" i="5"/>
  <c r="F135" i="5"/>
  <c r="D135" i="5"/>
  <c r="C135" i="5"/>
  <c r="G134" i="5"/>
  <c r="F134" i="5"/>
  <c r="D134" i="5"/>
  <c r="C134" i="5"/>
  <c r="G133" i="5"/>
  <c r="F133" i="5"/>
  <c r="D133" i="5"/>
  <c r="C133" i="5"/>
  <c r="G132" i="5"/>
  <c r="F132" i="5"/>
  <c r="D132" i="5"/>
  <c r="C132" i="5"/>
  <c r="J130" i="5"/>
  <c r="G128" i="5"/>
  <c r="D128" i="5"/>
  <c r="G127" i="5"/>
  <c r="D127" i="5"/>
  <c r="G126" i="5"/>
  <c r="D126" i="5"/>
  <c r="B125" i="5"/>
  <c r="B124" i="5"/>
  <c r="B123" i="5"/>
  <c r="B122" i="5"/>
  <c r="G121" i="5"/>
  <c r="F121" i="5"/>
  <c r="D121" i="5"/>
  <c r="C121" i="5"/>
  <c r="G120" i="5"/>
  <c r="F120" i="5"/>
  <c r="D120" i="5"/>
  <c r="C120" i="5"/>
  <c r="G119" i="5"/>
  <c r="F119" i="5"/>
  <c r="D119" i="5"/>
  <c r="C119" i="5"/>
  <c r="G118" i="5"/>
  <c r="F118" i="5"/>
  <c r="D118" i="5"/>
  <c r="C118" i="5"/>
  <c r="G117" i="5"/>
  <c r="F117" i="5"/>
  <c r="D117" i="5"/>
  <c r="C117" i="5"/>
  <c r="D114" i="5"/>
  <c r="D113" i="5"/>
  <c r="D112" i="5"/>
  <c r="D111" i="5"/>
  <c r="D108" i="5"/>
  <c r="D105" i="5"/>
  <c r="D104" i="5"/>
  <c r="D101" i="5"/>
  <c r="D98" i="5"/>
  <c r="D97" i="5"/>
  <c r="D96" i="5"/>
  <c r="D95" i="5"/>
  <c r="D94" i="5"/>
  <c r="D93" i="5"/>
  <c r="D92" i="5"/>
  <c r="D91" i="5"/>
  <c r="D90" i="5"/>
  <c r="D89" i="5"/>
  <c r="D88" i="5"/>
  <c r="D87" i="5"/>
  <c r="D86" i="5"/>
  <c r="D85" i="5"/>
  <c r="F83" i="5"/>
  <c r="C83" i="5"/>
  <c r="F82" i="5"/>
  <c r="C82" i="5"/>
  <c r="F80" i="5"/>
  <c r="C80" i="5"/>
  <c r="F79" i="5"/>
  <c r="C79" i="5"/>
  <c r="F75" i="5"/>
  <c r="C75" i="5"/>
  <c r="F74" i="5"/>
  <c r="C74" i="5"/>
  <c r="F71" i="5"/>
  <c r="C71" i="5"/>
  <c r="F70" i="5"/>
  <c r="C70" i="5"/>
  <c r="F68" i="5"/>
  <c r="C68" i="5"/>
  <c r="F66" i="5"/>
  <c r="C66" i="5"/>
  <c r="F54" i="5"/>
  <c r="C54" i="5"/>
  <c r="I25" i="5"/>
  <c r="C260" i="4"/>
  <c r="D227" i="4"/>
  <c r="D226" i="4"/>
  <c r="D225" i="4"/>
  <c r="C225" i="4"/>
  <c r="D224" i="4"/>
  <c r="C224" i="4"/>
  <c r="D223" i="4"/>
  <c r="C223" i="4"/>
  <c r="D222" i="4"/>
  <c r="C222" i="4"/>
  <c r="D220" i="4"/>
  <c r="D219" i="4"/>
  <c r="D218" i="4"/>
  <c r="C218" i="4"/>
  <c r="D213" i="4"/>
  <c r="C213" i="4"/>
  <c r="D212" i="4"/>
  <c r="C212" i="4"/>
  <c r="D211" i="4"/>
  <c r="C211" i="4"/>
  <c r="D210" i="4"/>
  <c r="C210" i="4"/>
  <c r="D209" i="4"/>
  <c r="C209" i="4"/>
  <c r="D206" i="4"/>
  <c r="D205" i="4"/>
  <c r="D204" i="4"/>
  <c r="D203" i="4"/>
  <c r="D200" i="4"/>
  <c r="D197" i="4"/>
  <c r="D196" i="4"/>
  <c r="D193" i="4"/>
  <c r="D190" i="4"/>
  <c r="D189" i="4"/>
  <c r="D188" i="4"/>
  <c r="D187" i="4"/>
  <c r="D186" i="4"/>
  <c r="D185" i="4"/>
  <c r="D184" i="4"/>
  <c r="D183" i="4"/>
  <c r="D182" i="4"/>
  <c r="D181" i="4"/>
  <c r="D180" i="4"/>
  <c r="D179" i="4"/>
  <c r="D178" i="4"/>
  <c r="D177" i="4"/>
  <c r="D175" i="4"/>
  <c r="C175" i="4"/>
  <c r="D174" i="4"/>
  <c r="D173" i="4"/>
  <c r="C173" i="4"/>
  <c r="D172" i="4"/>
  <c r="C172" i="4"/>
  <c r="D171" i="4"/>
  <c r="C171" i="4"/>
  <c r="D170" i="4"/>
  <c r="D169" i="4"/>
  <c r="D168" i="4"/>
  <c r="D167" i="4"/>
  <c r="C167" i="4"/>
  <c r="D166" i="4"/>
  <c r="D165" i="4"/>
  <c r="D164" i="4"/>
  <c r="C164" i="4"/>
  <c r="D163" i="4"/>
  <c r="D162" i="4"/>
  <c r="D161" i="4"/>
  <c r="C161" i="4"/>
  <c r="D160" i="4"/>
  <c r="D159" i="4"/>
  <c r="D158" i="4"/>
  <c r="C158" i="4"/>
  <c r="D157" i="4"/>
  <c r="C156" i="4"/>
  <c r="D155" i="4"/>
  <c r="D154" i="4"/>
  <c r="C154" i="4"/>
  <c r="D151" i="4"/>
  <c r="D148" i="4"/>
  <c r="D143" i="4"/>
  <c r="C143" i="4"/>
  <c r="D139" i="4"/>
  <c r="D138" i="4"/>
  <c r="D137" i="4"/>
  <c r="C137" i="4"/>
  <c r="D136" i="4"/>
  <c r="C136" i="4"/>
  <c r="D135" i="4"/>
  <c r="C135" i="4"/>
  <c r="D134" i="4"/>
  <c r="C134" i="4"/>
  <c r="O132" i="4"/>
  <c r="K132" i="4"/>
  <c r="O131" i="4"/>
  <c r="K131" i="4"/>
  <c r="D130" i="4"/>
  <c r="I129" i="4"/>
  <c r="D129" i="4"/>
  <c r="C129" i="4"/>
  <c r="D128" i="4"/>
  <c r="C128" i="4"/>
  <c r="B127" i="4"/>
  <c r="B126" i="4"/>
  <c r="B125" i="4"/>
  <c r="B124" i="4"/>
  <c r="O123" i="4"/>
  <c r="K123" i="4"/>
  <c r="I123" i="4"/>
  <c r="D123" i="4"/>
  <c r="C123" i="4"/>
  <c r="I120" i="4"/>
  <c r="D120" i="4"/>
  <c r="C120" i="4"/>
  <c r="D119" i="4"/>
  <c r="C119" i="4"/>
  <c r="I118" i="4"/>
  <c r="D118" i="4"/>
  <c r="C118" i="4"/>
  <c r="I117" i="4"/>
  <c r="D117" i="4"/>
  <c r="C117" i="4"/>
  <c r="D114" i="4"/>
  <c r="D113" i="4"/>
  <c r="D112" i="4"/>
  <c r="D111" i="4"/>
  <c r="D108" i="4"/>
  <c r="D105" i="4"/>
  <c r="D104" i="4"/>
  <c r="D101" i="4"/>
  <c r="D98" i="4"/>
  <c r="D97" i="4"/>
  <c r="D96" i="4"/>
  <c r="D95" i="4"/>
  <c r="D94" i="4"/>
  <c r="D93" i="4"/>
  <c r="D92" i="4"/>
  <c r="D91" i="4"/>
  <c r="D90" i="4"/>
  <c r="D89" i="4"/>
  <c r="D88" i="4"/>
  <c r="D87" i="4"/>
  <c r="D86" i="4"/>
  <c r="D85" i="4"/>
  <c r="I83" i="4"/>
  <c r="I82" i="4"/>
  <c r="C82" i="4"/>
  <c r="I80" i="4"/>
  <c r="E80" i="4"/>
  <c r="C80" i="4"/>
  <c r="I79" i="4"/>
  <c r="E79" i="4"/>
  <c r="D79" i="4"/>
  <c r="C79" i="4"/>
  <c r="E78" i="4"/>
  <c r="D78" i="4"/>
  <c r="E77" i="4"/>
  <c r="D77" i="4"/>
  <c r="E76" i="4"/>
  <c r="D76" i="4"/>
  <c r="I75" i="4"/>
  <c r="E75" i="4"/>
  <c r="D75" i="4"/>
  <c r="C75" i="4"/>
  <c r="E74" i="4"/>
  <c r="D74" i="4"/>
  <c r="E73" i="4"/>
  <c r="D73" i="4"/>
  <c r="E72" i="4"/>
  <c r="D72" i="4"/>
  <c r="I71" i="4"/>
  <c r="E71" i="4"/>
  <c r="D71" i="4"/>
  <c r="C71" i="4"/>
  <c r="E70" i="4"/>
  <c r="D70" i="4"/>
  <c r="E69" i="4"/>
  <c r="D69" i="4"/>
  <c r="I68" i="4"/>
  <c r="E68" i="4"/>
  <c r="D68" i="4"/>
  <c r="C68" i="4"/>
  <c r="E67" i="4"/>
  <c r="D67" i="4"/>
  <c r="I66" i="4"/>
  <c r="E66" i="4"/>
  <c r="D66" i="4"/>
  <c r="C66" i="4"/>
  <c r="I65" i="4"/>
  <c r="C65" i="4"/>
  <c r="C63" i="4"/>
  <c r="E62" i="4"/>
  <c r="D62" i="4"/>
  <c r="E59" i="4"/>
  <c r="D59" i="4"/>
  <c r="E57" i="4"/>
  <c r="E56" i="4"/>
  <c r="E55" i="4"/>
  <c r="I54" i="4"/>
  <c r="C54" i="4"/>
  <c r="C37" i="4"/>
  <c r="C28" i="4"/>
  <c r="S191" i="8"/>
  <c r="R191" i="8"/>
  <c r="O191" i="8"/>
  <c r="M191" i="8"/>
  <c r="K191" i="8"/>
  <c r="J191" i="8"/>
  <c r="H191" i="8"/>
  <c r="G191" i="8"/>
  <c r="E191" i="8"/>
  <c r="S190" i="8"/>
  <c r="R190" i="8"/>
  <c r="O190" i="8"/>
  <c r="M190" i="8"/>
  <c r="K190" i="8"/>
  <c r="J190" i="8"/>
  <c r="H190" i="8"/>
  <c r="G190" i="8"/>
  <c r="F190" i="8"/>
  <c r="E190" i="8"/>
  <c r="S189" i="8"/>
  <c r="R189" i="8"/>
  <c r="O189" i="8"/>
  <c r="M189" i="8"/>
  <c r="K189" i="8"/>
  <c r="J189" i="8"/>
  <c r="H189" i="8"/>
  <c r="G189" i="8"/>
  <c r="F189" i="8"/>
  <c r="E189" i="8"/>
  <c r="S188" i="8"/>
  <c r="R188" i="8"/>
  <c r="O188" i="8"/>
  <c r="M188" i="8"/>
  <c r="K188" i="8"/>
  <c r="J188" i="8"/>
  <c r="H188" i="8"/>
  <c r="G188" i="8"/>
  <c r="F188" i="8"/>
  <c r="E188" i="8"/>
  <c r="S187" i="8"/>
  <c r="R187" i="8"/>
  <c r="O187" i="8"/>
  <c r="M187" i="8"/>
  <c r="K187" i="8"/>
  <c r="J187" i="8"/>
  <c r="H187" i="8"/>
  <c r="G187" i="8"/>
  <c r="F187" i="8"/>
  <c r="E187" i="8"/>
  <c r="S186" i="8"/>
  <c r="R186" i="8"/>
  <c r="O186" i="8"/>
  <c r="M186" i="8"/>
  <c r="K186" i="8"/>
  <c r="J186" i="8"/>
  <c r="H186" i="8"/>
  <c r="G186" i="8"/>
  <c r="E186" i="8"/>
  <c r="S185" i="8"/>
  <c r="R185" i="8"/>
  <c r="O185" i="8"/>
  <c r="K185" i="8"/>
  <c r="H185" i="8"/>
  <c r="G185" i="8"/>
  <c r="F185" i="8"/>
  <c r="E185" i="8"/>
  <c r="S184" i="8"/>
  <c r="R184" i="8"/>
  <c r="O184" i="8"/>
  <c r="M184" i="8"/>
  <c r="K184" i="8"/>
  <c r="J184" i="8"/>
  <c r="H184" i="8"/>
  <c r="G184" i="8"/>
  <c r="F184" i="8"/>
  <c r="E184" i="8"/>
  <c r="S183" i="8"/>
  <c r="R183" i="8"/>
  <c r="O183" i="8"/>
  <c r="K183" i="8"/>
  <c r="H183" i="8"/>
  <c r="F183" i="8"/>
  <c r="E183" i="8"/>
  <c r="S182" i="8"/>
  <c r="R182" i="8"/>
  <c r="O182" i="8"/>
  <c r="K182" i="8"/>
  <c r="H182" i="8"/>
  <c r="F182" i="8"/>
  <c r="S181" i="8"/>
  <c r="R181" i="8"/>
  <c r="O181" i="8"/>
  <c r="M181" i="8"/>
  <c r="K181" i="8"/>
  <c r="J181" i="8"/>
  <c r="H181" i="8"/>
  <c r="G181" i="8"/>
  <c r="F181" i="8"/>
  <c r="E181" i="8"/>
  <c r="S179" i="8"/>
  <c r="R179" i="8"/>
  <c r="O179" i="8"/>
  <c r="M179" i="8"/>
  <c r="F179" i="8"/>
  <c r="E179" i="8"/>
  <c r="S178" i="8"/>
  <c r="R178" i="8"/>
  <c r="O178" i="8"/>
  <c r="M178" i="8"/>
  <c r="K178" i="8"/>
  <c r="J178" i="8"/>
  <c r="H178" i="8"/>
  <c r="G178" i="8"/>
  <c r="F178" i="8"/>
  <c r="E178" i="8"/>
  <c r="S177" i="8"/>
  <c r="R177" i="8"/>
  <c r="O177" i="8"/>
  <c r="K177" i="8"/>
  <c r="H177" i="8"/>
  <c r="F177" i="8"/>
  <c r="E177" i="8"/>
  <c r="S176" i="8"/>
  <c r="R176" i="8"/>
  <c r="O176" i="8"/>
  <c r="M176" i="8"/>
  <c r="K176" i="8"/>
  <c r="J176" i="8"/>
  <c r="H176" i="8"/>
  <c r="G176" i="8"/>
  <c r="F176" i="8"/>
  <c r="E176" i="8"/>
  <c r="S175" i="8"/>
  <c r="R175" i="8"/>
  <c r="O175" i="8"/>
  <c r="M175" i="8"/>
  <c r="J175" i="8"/>
  <c r="J179" i="8" s="1"/>
  <c r="K179" i="8" s="1"/>
  <c r="F175" i="8"/>
  <c r="E175" i="8"/>
  <c r="R174" i="8"/>
  <c r="O174" i="8"/>
  <c r="M174" i="8"/>
  <c r="K174" i="8"/>
  <c r="F174" i="8"/>
  <c r="E174" i="8"/>
  <c r="R173" i="8"/>
  <c r="M173" i="8"/>
  <c r="J173" i="8"/>
  <c r="R172" i="8"/>
  <c r="M172" i="8"/>
  <c r="K172" i="8"/>
  <c r="J172" i="8"/>
  <c r="S171" i="8"/>
  <c r="R171" i="8"/>
  <c r="O171" i="8"/>
  <c r="M171" i="8"/>
  <c r="K171" i="8"/>
  <c r="H171" i="8"/>
  <c r="F171" i="8"/>
  <c r="S170" i="8"/>
  <c r="R170" i="8"/>
  <c r="O170" i="8"/>
  <c r="M170" i="8"/>
  <c r="K170" i="8"/>
  <c r="J170" i="8"/>
  <c r="G170" i="8"/>
  <c r="G175" i="8" s="1"/>
  <c r="H175" i="8" s="1"/>
  <c r="F170" i="8"/>
  <c r="E170" i="8"/>
  <c r="S169" i="8"/>
  <c r="R169" i="8"/>
  <c r="O169" i="8"/>
  <c r="K169" i="8"/>
  <c r="J169" i="8"/>
  <c r="H169" i="8"/>
  <c r="F169" i="8"/>
  <c r="E169" i="8"/>
  <c r="S168" i="8"/>
  <c r="O168" i="8"/>
  <c r="K168" i="8"/>
  <c r="J168" i="8"/>
  <c r="H168" i="8"/>
  <c r="F168" i="8"/>
  <c r="E168" i="8"/>
  <c r="S167" i="8"/>
  <c r="R167" i="8"/>
  <c r="O167" i="8"/>
  <c r="M167" i="8"/>
  <c r="K167" i="8"/>
  <c r="J167" i="8"/>
  <c r="H167" i="8"/>
  <c r="G167" i="8"/>
  <c r="F167" i="8"/>
  <c r="E167" i="8"/>
  <c r="U164" i="8"/>
  <c r="T164" i="8"/>
  <c r="S164" i="8"/>
  <c r="R164" i="8"/>
  <c r="O164" i="8"/>
  <c r="M164" i="8"/>
  <c r="K164" i="8"/>
  <c r="J164" i="8"/>
  <c r="H164" i="8"/>
  <c r="G164" i="8"/>
  <c r="E164" i="8"/>
  <c r="U163" i="8"/>
  <c r="T163" i="8"/>
  <c r="S163" i="8"/>
  <c r="R163" i="8"/>
  <c r="O163" i="8"/>
  <c r="M163" i="8"/>
  <c r="K163" i="8"/>
  <c r="J163" i="8"/>
  <c r="H163" i="8"/>
  <c r="G163" i="8"/>
  <c r="F163" i="8"/>
  <c r="E163" i="8"/>
  <c r="U162" i="8"/>
  <c r="T162" i="8"/>
  <c r="S162" i="8"/>
  <c r="R162" i="8"/>
  <c r="O162" i="8"/>
  <c r="M162" i="8"/>
  <c r="K162" i="8"/>
  <c r="J162" i="8"/>
  <c r="H162" i="8"/>
  <c r="G162" i="8"/>
  <c r="F162" i="8"/>
  <c r="E162" i="8"/>
  <c r="U161" i="8"/>
  <c r="T161" i="8"/>
  <c r="S161" i="8"/>
  <c r="R161" i="8"/>
  <c r="O161" i="8"/>
  <c r="M161" i="8"/>
  <c r="K161" i="8"/>
  <c r="J161" i="8"/>
  <c r="H161" i="8"/>
  <c r="G161" i="8"/>
  <c r="F161" i="8"/>
  <c r="E161" i="8"/>
  <c r="U160" i="8"/>
  <c r="T160" i="8"/>
  <c r="S160" i="8"/>
  <c r="R160" i="8"/>
  <c r="O160" i="8"/>
  <c r="M160" i="8"/>
  <c r="K160" i="8"/>
  <c r="J160" i="8"/>
  <c r="H160" i="8"/>
  <c r="G160" i="8"/>
  <c r="F160" i="8"/>
  <c r="E160" i="8"/>
  <c r="U159" i="8"/>
  <c r="T159" i="8"/>
  <c r="S159" i="8"/>
  <c r="R159" i="8"/>
  <c r="O159" i="8"/>
  <c r="M159" i="8"/>
  <c r="K159" i="8"/>
  <c r="J159" i="8"/>
  <c r="H159" i="8"/>
  <c r="G159" i="8"/>
  <c r="F159" i="8"/>
  <c r="E159" i="8"/>
  <c r="U158" i="8"/>
  <c r="T158" i="8"/>
  <c r="S158" i="8"/>
  <c r="R158" i="8"/>
  <c r="O158" i="8"/>
  <c r="K158" i="8"/>
  <c r="H158" i="8"/>
  <c r="G158" i="8"/>
  <c r="F158" i="8"/>
  <c r="E158" i="8"/>
  <c r="U157" i="8"/>
  <c r="T157" i="8"/>
  <c r="S157" i="8"/>
  <c r="R157" i="8"/>
  <c r="O157" i="8"/>
  <c r="M157" i="8"/>
  <c r="K157" i="8"/>
  <c r="J157" i="8"/>
  <c r="H157" i="8"/>
  <c r="G157" i="8"/>
  <c r="F157" i="8"/>
  <c r="E157" i="8"/>
  <c r="U156" i="8"/>
  <c r="T156" i="8"/>
  <c r="S156" i="8"/>
  <c r="R156" i="8"/>
  <c r="O156" i="8"/>
  <c r="K156" i="8"/>
  <c r="H156" i="8"/>
  <c r="F156" i="8"/>
  <c r="E156" i="8"/>
  <c r="U155" i="8"/>
  <c r="T155" i="8"/>
  <c r="S155" i="8"/>
  <c r="R155" i="8"/>
  <c r="O155" i="8"/>
  <c r="K155" i="8"/>
  <c r="H155" i="8"/>
  <c r="F155" i="8"/>
  <c r="U154" i="8"/>
  <c r="T154" i="8"/>
  <c r="S154" i="8"/>
  <c r="R154" i="8"/>
  <c r="O154" i="8"/>
  <c r="M154" i="8"/>
  <c r="K154" i="8"/>
  <c r="J154" i="8"/>
  <c r="H154" i="8"/>
  <c r="G154" i="8"/>
  <c r="F154" i="8"/>
  <c r="E154" i="8"/>
  <c r="U152" i="8"/>
  <c r="T152" i="8"/>
  <c r="R152" i="8"/>
  <c r="O152" i="8"/>
  <c r="M152" i="8"/>
  <c r="K152" i="8"/>
  <c r="J152" i="8"/>
  <c r="H152" i="8"/>
  <c r="G152" i="8"/>
  <c r="F152" i="8"/>
  <c r="E152" i="8"/>
  <c r="U151" i="8"/>
  <c r="T151" i="8"/>
  <c r="R151" i="8"/>
  <c r="O151" i="8"/>
  <c r="M151" i="8"/>
  <c r="K151" i="8"/>
  <c r="J151" i="8"/>
  <c r="H151" i="8"/>
  <c r="G151" i="8"/>
  <c r="F151" i="8"/>
  <c r="E151" i="8"/>
  <c r="U150" i="8"/>
  <c r="T150" i="8"/>
  <c r="R150" i="8"/>
  <c r="O150" i="8"/>
  <c r="K150" i="8"/>
  <c r="H150" i="8"/>
  <c r="F150" i="8"/>
  <c r="E150" i="8"/>
  <c r="U149" i="8"/>
  <c r="T149" i="8"/>
  <c r="S149" i="8"/>
  <c r="R149" i="8"/>
  <c r="O149" i="8"/>
  <c r="M149" i="8"/>
  <c r="K149" i="8"/>
  <c r="J149" i="8"/>
  <c r="H149" i="8"/>
  <c r="G149" i="8"/>
  <c r="F149" i="8"/>
  <c r="E149" i="8"/>
  <c r="U148" i="8"/>
  <c r="T148" i="8"/>
  <c r="S148" i="8"/>
  <c r="R148" i="8"/>
  <c r="O148" i="8"/>
  <c r="M148" i="8"/>
  <c r="K148" i="8"/>
  <c r="J148" i="8"/>
  <c r="H148" i="8"/>
  <c r="G148" i="8"/>
  <c r="F148" i="8"/>
  <c r="E148" i="8"/>
  <c r="T147" i="8"/>
  <c r="R147" i="8"/>
  <c r="O147" i="8"/>
  <c r="M147" i="8"/>
  <c r="K147" i="8"/>
  <c r="F147" i="8"/>
  <c r="E147" i="8"/>
  <c r="T146" i="8"/>
  <c r="S146" i="8"/>
  <c r="R146" i="8"/>
  <c r="M146" i="8"/>
  <c r="J146" i="8"/>
  <c r="T145" i="8"/>
  <c r="S145" i="8"/>
  <c r="R145" i="8"/>
  <c r="M145" i="8"/>
  <c r="K145" i="8"/>
  <c r="J145" i="8"/>
  <c r="U144" i="8"/>
  <c r="T144" i="8"/>
  <c r="S144" i="8"/>
  <c r="R144" i="8"/>
  <c r="O144" i="8"/>
  <c r="M144" i="8"/>
  <c r="K144" i="8"/>
  <c r="J144" i="8"/>
  <c r="H144" i="8"/>
  <c r="G144" i="8"/>
  <c r="F144" i="8"/>
  <c r="U143" i="8"/>
  <c r="T143" i="8"/>
  <c r="S143" i="8"/>
  <c r="R143" i="8"/>
  <c r="O143" i="8"/>
  <c r="M143" i="8"/>
  <c r="K143" i="8"/>
  <c r="J143" i="8"/>
  <c r="H143" i="8"/>
  <c r="G143" i="8"/>
  <c r="F143" i="8"/>
  <c r="E143" i="8"/>
  <c r="U142" i="8"/>
  <c r="T142" i="8"/>
  <c r="S142" i="8"/>
  <c r="R142" i="8"/>
  <c r="O142" i="8"/>
  <c r="K142" i="8"/>
  <c r="J142" i="8"/>
  <c r="H142" i="8"/>
  <c r="F142" i="8"/>
  <c r="E142" i="8"/>
  <c r="U141" i="8"/>
  <c r="S141" i="8"/>
  <c r="O141" i="8"/>
  <c r="K141" i="8"/>
  <c r="J141" i="8"/>
  <c r="H141" i="8"/>
  <c r="F141" i="8"/>
  <c r="E141" i="8"/>
  <c r="U140" i="8"/>
  <c r="T140" i="8"/>
  <c r="S140" i="8"/>
  <c r="R140" i="8"/>
  <c r="O140" i="8"/>
  <c r="M140" i="8"/>
  <c r="K140" i="8"/>
  <c r="J140" i="8"/>
  <c r="H140" i="8"/>
  <c r="G140" i="8"/>
  <c r="F140" i="8"/>
  <c r="E140" i="8"/>
  <c r="O137" i="8"/>
  <c r="M137" i="8"/>
  <c r="G137" i="8"/>
  <c r="P136" i="8"/>
  <c r="O136" i="8"/>
  <c r="N136" i="8"/>
  <c r="M136" i="8"/>
  <c r="H136" i="8"/>
  <c r="G136" i="8"/>
  <c r="O135" i="8"/>
  <c r="M135" i="8"/>
  <c r="H135" i="8"/>
  <c r="G135" i="8"/>
  <c r="O134" i="8"/>
  <c r="O133" i="8"/>
  <c r="O132" i="8"/>
  <c r="M132" i="8"/>
  <c r="O131" i="8"/>
  <c r="M131" i="8"/>
  <c r="G131" i="8"/>
  <c r="O130" i="8"/>
  <c r="O129" i="8"/>
  <c r="M129" i="8"/>
  <c r="O128" i="8"/>
  <c r="M128" i="8"/>
  <c r="G128" i="8"/>
  <c r="M127" i="8"/>
  <c r="AW74" i="1" s="1"/>
  <c r="R126" i="8"/>
  <c r="O126" i="8"/>
  <c r="J126" i="8"/>
  <c r="R125" i="8"/>
  <c r="O125" i="8"/>
  <c r="M125" i="8"/>
  <c r="J125" i="8"/>
  <c r="G125" i="8"/>
  <c r="R124" i="8"/>
  <c r="O124" i="8"/>
  <c r="M124" i="8"/>
  <c r="J124" i="8"/>
  <c r="G124" i="8"/>
  <c r="O123" i="8"/>
  <c r="O122" i="8"/>
  <c r="O121" i="8"/>
  <c r="M121" i="8"/>
  <c r="G121" i="8"/>
  <c r="O120" i="8"/>
  <c r="O119" i="8"/>
  <c r="M119" i="8"/>
  <c r="G119" i="8"/>
  <c r="O118" i="8"/>
  <c r="O117" i="8"/>
  <c r="O116" i="8"/>
  <c r="O115" i="8"/>
  <c r="S114" i="8"/>
  <c r="O114" i="8"/>
  <c r="M114" i="8"/>
  <c r="K114" i="8"/>
  <c r="J114" i="8"/>
  <c r="G114" i="8"/>
  <c r="O113" i="8"/>
  <c r="O112" i="8"/>
  <c r="M112" i="8"/>
  <c r="O111" i="8"/>
  <c r="O110" i="8"/>
  <c r="F110" i="8"/>
  <c r="E110" i="8"/>
  <c r="S109" i="8"/>
  <c r="R109" i="8"/>
  <c r="P109" i="8"/>
  <c r="O109" i="8"/>
  <c r="N109" i="8"/>
  <c r="M109" i="8"/>
  <c r="J109" i="8"/>
  <c r="H109" i="8"/>
  <c r="G109" i="8"/>
  <c r="S108" i="8"/>
  <c r="R108" i="8"/>
  <c r="K108" i="8"/>
  <c r="J108" i="8"/>
  <c r="F108" i="8"/>
  <c r="E108" i="8"/>
  <c r="S107" i="8"/>
  <c r="R107" i="8"/>
  <c r="K107" i="8"/>
  <c r="J107" i="8"/>
  <c r="F107" i="8"/>
  <c r="E107" i="8"/>
  <c r="S106" i="8"/>
  <c r="R106" i="8"/>
  <c r="K106" i="8"/>
  <c r="J106" i="8"/>
  <c r="F106" i="8"/>
  <c r="E106" i="8"/>
  <c r="S105" i="8"/>
  <c r="R105" i="8"/>
  <c r="P105" i="8"/>
  <c r="O105" i="8"/>
  <c r="N105" i="8"/>
  <c r="M105" i="8"/>
  <c r="K105" i="8"/>
  <c r="J105" i="8"/>
  <c r="H105" i="8"/>
  <c r="G105" i="8"/>
  <c r="F105" i="8"/>
  <c r="E105" i="8"/>
  <c r="S104" i="8"/>
  <c r="R104" i="8"/>
  <c r="Q104" i="8"/>
  <c r="P104" i="8"/>
  <c r="O104" i="8"/>
  <c r="N104" i="8"/>
  <c r="M104" i="8"/>
  <c r="L104" i="8"/>
  <c r="K104" i="8"/>
  <c r="J104" i="8"/>
  <c r="I104" i="8"/>
  <c r="H104" i="8"/>
  <c r="G104" i="8"/>
  <c r="F104" i="8"/>
  <c r="E104" i="8"/>
  <c r="D104" i="8"/>
  <c r="S103" i="8"/>
  <c r="R103" i="8"/>
  <c r="O103" i="8"/>
  <c r="M103" i="8"/>
  <c r="K103" i="8"/>
  <c r="J103" i="8"/>
  <c r="H103" i="8"/>
  <c r="G103" i="8"/>
  <c r="F103" i="8"/>
  <c r="E103" i="8"/>
  <c r="D103" i="8"/>
  <c r="S102" i="8"/>
  <c r="R102" i="8"/>
  <c r="O102" i="8"/>
  <c r="M102" i="8"/>
  <c r="K102" i="8"/>
  <c r="J102" i="8"/>
  <c r="H102" i="8"/>
  <c r="G102" i="8"/>
  <c r="F102" i="8"/>
  <c r="E102" i="8"/>
  <c r="D102" i="8"/>
  <c r="S101" i="8"/>
  <c r="R101" i="8"/>
  <c r="P101" i="8"/>
  <c r="O101" i="8"/>
  <c r="N101" i="8"/>
  <c r="M101" i="8"/>
  <c r="L101" i="8"/>
  <c r="K101" i="8"/>
  <c r="J101" i="8"/>
  <c r="H101" i="8"/>
  <c r="G101" i="8"/>
  <c r="F101" i="8"/>
  <c r="E101" i="8"/>
  <c r="S100" i="8"/>
  <c r="R100" i="8"/>
  <c r="P100" i="8"/>
  <c r="O100" i="8"/>
  <c r="N100" i="8"/>
  <c r="M100" i="8"/>
  <c r="K100" i="8"/>
  <c r="J100" i="8"/>
  <c r="H100" i="8"/>
  <c r="G100" i="8"/>
  <c r="F100" i="8"/>
  <c r="E100" i="8"/>
  <c r="S99" i="8"/>
  <c r="R99" i="8"/>
  <c r="Q99" i="8"/>
  <c r="P99" i="8"/>
  <c r="O99" i="8"/>
  <c r="N99" i="8"/>
  <c r="M99" i="8"/>
  <c r="L99" i="8"/>
  <c r="K99" i="8"/>
  <c r="J99" i="8"/>
  <c r="I99" i="8"/>
  <c r="H99" i="8"/>
  <c r="G99" i="8"/>
  <c r="F99" i="8"/>
  <c r="E99" i="8"/>
  <c r="S98" i="8"/>
  <c r="R98" i="8"/>
  <c r="Q98" i="8"/>
  <c r="P98" i="8"/>
  <c r="O98" i="8"/>
  <c r="N98" i="8"/>
  <c r="M98" i="8"/>
  <c r="L98" i="8"/>
  <c r="K98" i="8"/>
  <c r="J98" i="8"/>
  <c r="I98" i="8"/>
  <c r="H98" i="8"/>
  <c r="G98" i="8"/>
  <c r="F98" i="8"/>
  <c r="E98" i="8"/>
  <c r="D98" i="8"/>
  <c r="S97" i="8"/>
  <c r="R97" i="8"/>
  <c r="Q97" i="8"/>
  <c r="P97" i="8"/>
  <c r="O97" i="8"/>
  <c r="N97" i="8"/>
  <c r="M97" i="8"/>
  <c r="L97" i="8"/>
  <c r="K97" i="8"/>
  <c r="J97" i="8"/>
  <c r="I97" i="8"/>
  <c r="H97" i="8"/>
  <c r="G97" i="8"/>
  <c r="F97" i="8"/>
  <c r="E97" i="8"/>
  <c r="D97" i="8"/>
  <c r="S96" i="8"/>
  <c r="R96" i="8"/>
  <c r="P96" i="8"/>
  <c r="O96" i="8"/>
  <c r="N96" i="8"/>
  <c r="M96" i="8"/>
  <c r="L96" i="8"/>
  <c r="K96" i="8"/>
  <c r="J96" i="8"/>
  <c r="H96" i="8"/>
  <c r="G96" i="8"/>
  <c r="F96" i="8"/>
  <c r="E96" i="8"/>
  <c r="D96" i="8"/>
  <c r="S95" i="8"/>
  <c r="R95" i="8"/>
  <c r="Q95" i="8"/>
  <c r="P95" i="8"/>
  <c r="O95" i="8"/>
  <c r="N95" i="8"/>
  <c r="M95" i="8"/>
  <c r="L95" i="8"/>
  <c r="K95" i="8"/>
  <c r="J95" i="8"/>
  <c r="I95" i="8"/>
  <c r="H95" i="8"/>
  <c r="G95" i="8"/>
  <c r="F95" i="8"/>
  <c r="E95" i="8"/>
  <c r="S94" i="8"/>
  <c r="R94" i="8"/>
  <c r="Q94" i="8"/>
  <c r="P94" i="8"/>
  <c r="O94" i="8"/>
  <c r="N94" i="8"/>
  <c r="M94" i="8"/>
  <c r="L94" i="8"/>
  <c r="K94" i="8"/>
  <c r="J94" i="8"/>
  <c r="I94" i="8"/>
  <c r="H94" i="8"/>
  <c r="G94" i="8"/>
  <c r="F94" i="8"/>
  <c r="E94" i="8"/>
  <c r="S93" i="8"/>
  <c r="R93" i="8"/>
  <c r="P93" i="8"/>
  <c r="O93" i="8"/>
  <c r="N93" i="8"/>
  <c r="M93" i="8"/>
  <c r="L93" i="8"/>
  <c r="K93" i="8"/>
  <c r="J93" i="8"/>
  <c r="H93" i="8"/>
  <c r="G93" i="8"/>
  <c r="F93" i="8"/>
  <c r="E93" i="8"/>
  <c r="D93" i="8"/>
  <c r="S92" i="8"/>
  <c r="R92" i="8"/>
  <c r="P92" i="8"/>
  <c r="O92" i="8"/>
  <c r="N92" i="8"/>
  <c r="M92" i="8"/>
  <c r="L92" i="8"/>
  <c r="K92" i="8"/>
  <c r="J92" i="8"/>
  <c r="H92" i="8"/>
  <c r="G92" i="8"/>
  <c r="F92" i="8"/>
  <c r="E92" i="8"/>
  <c r="S91" i="8"/>
  <c r="R91" i="8"/>
  <c r="P91" i="8"/>
  <c r="O91" i="8"/>
  <c r="N91" i="8"/>
  <c r="M91" i="8"/>
  <c r="K91" i="8"/>
  <c r="J91" i="8"/>
  <c r="H91" i="8"/>
  <c r="G91" i="8"/>
  <c r="F91" i="8"/>
  <c r="E91" i="8"/>
  <c r="S90" i="8"/>
  <c r="R90" i="8"/>
  <c r="N90" i="8"/>
  <c r="M90" i="8"/>
  <c r="K90" i="8"/>
  <c r="J90" i="8"/>
  <c r="F90" i="8"/>
  <c r="E90" i="8"/>
  <c r="S89" i="8"/>
  <c r="R89" i="8"/>
  <c r="P89" i="8"/>
  <c r="O89" i="8"/>
  <c r="N89" i="8"/>
  <c r="M89" i="8"/>
  <c r="K89" i="8"/>
  <c r="J89" i="8"/>
  <c r="H89" i="8"/>
  <c r="G89" i="8"/>
  <c r="F89" i="8"/>
  <c r="E89" i="8"/>
  <c r="S88" i="8"/>
  <c r="R88" i="8"/>
  <c r="N88" i="8"/>
  <c r="M88" i="8"/>
  <c r="L88" i="8"/>
  <c r="K88" i="8"/>
  <c r="J88" i="8"/>
  <c r="H88" i="8"/>
  <c r="F88" i="8"/>
  <c r="E88" i="8"/>
  <c r="D88" i="8"/>
  <c r="S87" i="8"/>
  <c r="R87" i="8"/>
  <c r="N87" i="8"/>
  <c r="M87" i="8"/>
  <c r="L87" i="8"/>
  <c r="K87" i="8"/>
  <c r="J87" i="8"/>
  <c r="H87" i="8"/>
  <c r="F87" i="8"/>
  <c r="E87" i="8"/>
  <c r="D87" i="8"/>
  <c r="S86" i="8"/>
  <c r="R86" i="8"/>
  <c r="P86" i="8"/>
  <c r="O86" i="8"/>
  <c r="N86" i="8"/>
  <c r="M86" i="8"/>
  <c r="K86" i="8"/>
  <c r="J86" i="8"/>
  <c r="H86" i="8"/>
  <c r="G86" i="8"/>
  <c r="F86" i="8"/>
  <c r="E86" i="8"/>
  <c r="S85" i="8"/>
  <c r="R85" i="8"/>
  <c r="Q85" i="8"/>
  <c r="N85" i="8"/>
  <c r="L85" i="8"/>
  <c r="K85" i="8"/>
  <c r="J85" i="8"/>
  <c r="I85" i="8"/>
  <c r="F85" i="8"/>
  <c r="E85" i="8"/>
  <c r="D85" i="8"/>
  <c r="S84" i="8"/>
  <c r="R84" i="8"/>
  <c r="P84" i="8"/>
  <c r="O84" i="8"/>
  <c r="N84" i="8"/>
  <c r="M84" i="8"/>
  <c r="K84" i="8"/>
  <c r="J84" i="8"/>
  <c r="H84" i="8"/>
  <c r="G84" i="8"/>
  <c r="F84" i="8"/>
  <c r="E84" i="8"/>
  <c r="S83" i="8"/>
  <c r="R83" i="8"/>
  <c r="O83" i="8"/>
  <c r="M83" i="8"/>
  <c r="K83" i="8"/>
  <c r="J83" i="8"/>
  <c r="G83" i="8"/>
  <c r="F83" i="8"/>
  <c r="E83" i="8"/>
  <c r="S82" i="8"/>
  <c r="R82" i="8"/>
  <c r="O82" i="8"/>
  <c r="M82" i="8"/>
  <c r="K82" i="8"/>
  <c r="J82" i="8"/>
  <c r="G82" i="8"/>
  <c r="F82" i="8"/>
  <c r="E82" i="8"/>
  <c r="S81" i="8"/>
  <c r="R81" i="8"/>
  <c r="N81" i="8"/>
  <c r="M81" i="8"/>
  <c r="L81" i="8"/>
  <c r="K81" i="8"/>
  <c r="J81" i="8"/>
  <c r="G81" i="8"/>
  <c r="F81" i="8"/>
  <c r="E81" i="8"/>
  <c r="S80" i="8"/>
  <c r="R80" i="8"/>
  <c r="P80" i="8"/>
  <c r="O80" i="8"/>
  <c r="N80" i="8"/>
  <c r="M80" i="8"/>
  <c r="K80" i="8"/>
  <c r="J80" i="8"/>
  <c r="H80" i="8"/>
  <c r="G80" i="8"/>
  <c r="F80" i="8"/>
  <c r="E80" i="8"/>
  <c r="N77" i="8"/>
  <c r="M77" i="8"/>
  <c r="J77" i="8"/>
  <c r="G77" i="8"/>
  <c r="E77" i="8"/>
  <c r="N76" i="8"/>
  <c r="M76" i="8"/>
  <c r="G76" i="8"/>
  <c r="N75" i="8"/>
  <c r="M75" i="8"/>
  <c r="G75" i="8"/>
  <c r="N74" i="8"/>
  <c r="M74" i="8"/>
  <c r="G74" i="8"/>
  <c r="N73" i="8"/>
  <c r="M73" i="8"/>
  <c r="G73" i="8"/>
  <c r="S72" i="8"/>
  <c r="R72" i="8"/>
  <c r="O72" i="8"/>
  <c r="N72" i="8"/>
  <c r="M72" i="8"/>
  <c r="K72" i="8"/>
  <c r="J72" i="8"/>
  <c r="H72" i="8"/>
  <c r="G72" i="8"/>
  <c r="F72" i="8"/>
  <c r="E72" i="8"/>
  <c r="S71" i="8"/>
  <c r="R71" i="8"/>
  <c r="Q71" i="8"/>
  <c r="O71" i="8"/>
  <c r="M71" i="8"/>
  <c r="L71" i="8"/>
  <c r="K71" i="8"/>
  <c r="J71" i="8"/>
  <c r="I71" i="8"/>
  <c r="H71" i="8"/>
  <c r="G71" i="8"/>
  <c r="F71" i="8"/>
  <c r="E71" i="8"/>
  <c r="S70" i="8"/>
  <c r="R70" i="8"/>
  <c r="O70" i="8"/>
  <c r="M70" i="8"/>
  <c r="K70" i="8"/>
  <c r="J70" i="8"/>
  <c r="H70" i="8"/>
  <c r="G70" i="8"/>
  <c r="F70" i="8"/>
  <c r="E70" i="8"/>
  <c r="S69" i="8"/>
  <c r="R69" i="8"/>
  <c r="O69" i="8"/>
  <c r="M69" i="8"/>
  <c r="K69" i="8"/>
  <c r="J69" i="8"/>
  <c r="H69" i="8"/>
  <c r="G69" i="8"/>
  <c r="F69" i="8"/>
  <c r="E69" i="8"/>
  <c r="F68" i="8"/>
  <c r="M67" i="8"/>
  <c r="F67" i="8"/>
  <c r="M66" i="8"/>
  <c r="G66" i="8"/>
  <c r="F66" i="8"/>
  <c r="R64" i="8"/>
  <c r="J64" i="8"/>
  <c r="R63" i="8"/>
  <c r="J63" i="8"/>
  <c r="G63" i="8"/>
  <c r="F63" i="8"/>
  <c r="M60" i="8"/>
  <c r="G60" i="8"/>
  <c r="F60" i="8"/>
  <c r="S59" i="8"/>
  <c r="R59" i="8"/>
  <c r="O59" i="8"/>
  <c r="M59" i="8"/>
  <c r="K59" i="8"/>
  <c r="J59" i="8"/>
  <c r="H59" i="8"/>
  <c r="G59" i="8"/>
  <c r="F59" i="8"/>
  <c r="E59" i="8"/>
  <c r="S58" i="8"/>
  <c r="R58" i="8"/>
  <c r="K58" i="8"/>
  <c r="J58" i="8"/>
  <c r="I58" i="8"/>
  <c r="H58" i="8"/>
  <c r="F58" i="8"/>
  <c r="E58" i="8"/>
  <c r="S57" i="8"/>
  <c r="R57" i="8"/>
  <c r="O57" i="8"/>
  <c r="M57" i="8"/>
  <c r="K57" i="8"/>
  <c r="J57" i="8"/>
  <c r="H57" i="8"/>
  <c r="G57" i="8"/>
  <c r="F57" i="8"/>
  <c r="S56" i="8"/>
  <c r="R56" i="8"/>
  <c r="Q56" i="8"/>
  <c r="O56" i="8"/>
  <c r="I56" i="8"/>
  <c r="H56" i="8"/>
  <c r="D56" i="8"/>
  <c r="S55" i="8"/>
  <c r="R55" i="8"/>
  <c r="Q55" i="8"/>
  <c r="O55" i="8"/>
  <c r="K55" i="8"/>
  <c r="I55" i="8"/>
  <c r="H55" i="8"/>
  <c r="F55" i="8"/>
  <c r="D55" i="8"/>
  <c r="S54" i="8"/>
  <c r="R54" i="8"/>
  <c r="Q54" i="8"/>
  <c r="O54" i="8"/>
  <c r="K54" i="8"/>
  <c r="I54" i="8"/>
  <c r="H54" i="8"/>
  <c r="F54" i="8"/>
  <c r="D54" i="8"/>
  <c r="S53" i="8"/>
  <c r="R53" i="8"/>
  <c r="Q53" i="8"/>
  <c r="O53" i="8"/>
  <c r="K53" i="8"/>
  <c r="I53" i="8"/>
  <c r="H53" i="8"/>
  <c r="F53" i="8"/>
  <c r="D53" i="8"/>
  <c r="S52" i="8"/>
  <c r="R52" i="8"/>
  <c r="Q52" i="8"/>
  <c r="O52" i="8"/>
  <c r="M52" i="8"/>
  <c r="K52" i="8"/>
  <c r="J52" i="8"/>
  <c r="I52" i="8"/>
  <c r="H52" i="8"/>
  <c r="G52" i="8"/>
  <c r="F52" i="8"/>
  <c r="E52" i="8"/>
  <c r="D52" i="8"/>
  <c r="S51" i="8"/>
  <c r="R51" i="8"/>
  <c r="Q51" i="8"/>
  <c r="O51" i="8"/>
  <c r="K51" i="8"/>
  <c r="I51" i="8"/>
  <c r="H51" i="8"/>
  <c r="F51" i="8"/>
  <c r="D51" i="8"/>
  <c r="S50" i="8"/>
  <c r="R50" i="8"/>
  <c r="Q50" i="8"/>
  <c r="O50" i="8"/>
  <c r="K50" i="8"/>
  <c r="I50" i="8"/>
  <c r="H50" i="8"/>
  <c r="F50" i="8"/>
  <c r="D50" i="8"/>
  <c r="S49" i="8"/>
  <c r="R49" i="8"/>
  <c r="Q49" i="8"/>
  <c r="O49" i="8"/>
  <c r="K49" i="8"/>
  <c r="J49" i="8"/>
  <c r="I49" i="8"/>
  <c r="H49" i="8"/>
  <c r="F49" i="8"/>
  <c r="D49" i="8"/>
  <c r="S48" i="8"/>
  <c r="R48" i="8"/>
  <c r="O48" i="8"/>
  <c r="M48" i="8"/>
  <c r="K48" i="8"/>
  <c r="H48" i="8"/>
  <c r="G48" i="8"/>
  <c r="F48" i="8"/>
  <c r="E48" i="8"/>
  <c r="D48" i="8"/>
  <c r="S47" i="8"/>
  <c r="R47" i="8"/>
  <c r="Q47" i="8"/>
  <c r="O47" i="8"/>
  <c r="K47" i="8"/>
  <c r="J47" i="8"/>
  <c r="I47" i="8"/>
  <c r="H47" i="8"/>
  <c r="F47" i="8"/>
  <c r="D47" i="8"/>
  <c r="S46" i="8"/>
  <c r="R46" i="8"/>
  <c r="Q46" i="8"/>
  <c r="O46" i="8"/>
  <c r="M46" i="8"/>
  <c r="K46" i="8"/>
  <c r="J46" i="8"/>
  <c r="I46" i="8"/>
  <c r="H46" i="8"/>
  <c r="G46" i="8"/>
  <c r="F46" i="8"/>
  <c r="D46" i="8"/>
  <c r="S45" i="8"/>
  <c r="R45" i="8"/>
  <c r="O45" i="8"/>
  <c r="M45" i="8"/>
  <c r="K45" i="8"/>
  <c r="H45" i="8"/>
  <c r="G45" i="8"/>
  <c r="F45" i="8"/>
  <c r="E45" i="8"/>
  <c r="D45" i="8"/>
  <c r="S44" i="8"/>
  <c r="R44" i="8"/>
  <c r="O44" i="8"/>
  <c r="K44" i="8"/>
  <c r="H44" i="8"/>
  <c r="F44" i="8"/>
  <c r="D44" i="8"/>
  <c r="S43" i="8"/>
  <c r="R43" i="8"/>
  <c r="Q43" i="8"/>
  <c r="O43" i="8"/>
  <c r="M43" i="8"/>
  <c r="K43" i="8"/>
  <c r="J43" i="8"/>
  <c r="I43" i="8"/>
  <c r="H43" i="8"/>
  <c r="G43" i="8"/>
  <c r="F43" i="8"/>
  <c r="E43" i="8"/>
  <c r="D43" i="8"/>
  <c r="S42" i="8"/>
  <c r="R42" i="8"/>
  <c r="O42" i="8"/>
  <c r="K42" i="8"/>
  <c r="H42" i="8"/>
  <c r="F42" i="8"/>
  <c r="E42" i="8"/>
  <c r="D42" i="8"/>
  <c r="S41" i="8"/>
  <c r="R41" i="8"/>
  <c r="O41" i="8"/>
  <c r="M41" i="8"/>
  <c r="K41" i="8"/>
  <c r="J41" i="8"/>
  <c r="H41" i="8"/>
  <c r="F41" i="8"/>
  <c r="E41" i="8"/>
  <c r="D41" i="8"/>
  <c r="S40" i="8"/>
  <c r="R40" i="8"/>
  <c r="Q40" i="8"/>
  <c r="O40" i="8"/>
  <c r="M40" i="8"/>
  <c r="K40" i="8"/>
  <c r="J40" i="8"/>
  <c r="I40" i="8"/>
  <c r="H40" i="8"/>
  <c r="G40" i="8"/>
  <c r="F40" i="8"/>
  <c r="E40" i="8"/>
  <c r="D40" i="8"/>
  <c r="S39" i="8"/>
  <c r="R39" i="8"/>
  <c r="Q39" i="8"/>
  <c r="O39" i="8"/>
  <c r="M39" i="8"/>
  <c r="K39" i="8"/>
  <c r="I39" i="8"/>
  <c r="H39" i="8"/>
  <c r="F39" i="8"/>
  <c r="D39" i="8"/>
  <c r="S38" i="8"/>
  <c r="R38" i="8"/>
  <c r="Q38" i="8"/>
  <c r="O38" i="8"/>
  <c r="M38" i="8"/>
  <c r="K38" i="8"/>
  <c r="J38" i="8"/>
  <c r="I38" i="8"/>
  <c r="H38" i="8"/>
  <c r="G38" i="8"/>
  <c r="F38" i="8"/>
  <c r="E38" i="8"/>
  <c r="D38" i="8"/>
  <c r="S37" i="8"/>
  <c r="R37" i="8"/>
  <c r="O37" i="8"/>
  <c r="M37" i="8"/>
  <c r="K37" i="8"/>
  <c r="J37" i="8"/>
  <c r="H37" i="8"/>
  <c r="G37" i="8"/>
  <c r="F37" i="8"/>
  <c r="E37" i="8"/>
  <c r="S36" i="8"/>
  <c r="R36" i="8"/>
  <c r="O36" i="8"/>
  <c r="M36" i="8"/>
  <c r="K36" i="8"/>
  <c r="H36" i="8"/>
  <c r="F36" i="8"/>
  <c r="S35" i="8"/>
  <c r="R35" i="8"/>
  <c r="O35" i="8"/>
  <c r="M35" i="8"/>
  <c r="K35" i="8"/>
  <c r="H35" i="8"/>
  <c r="F35" i="8"/>
  <c r="S34" i="8"/>
  <c r="R34" i="8"/>
  <c r="O34" i="8"/>
  <c r="M34" i="8"/>
  <c r="K34" i="8"/>
  <c r="H34" i="8"/>
  <c r="F34" i="8"/>
  <c r="S33" i="8"/>
  <c r="R33" i="8"/>
  <c r="O33" i="8"/>
  <c r="M33" i="8"/>
  <c r="K33" i="8"/>
  <c r="J33" i="8"/>
  <c r="H33" i="8"/>
  <c r="F33" i="8"/>
  <c r="S32" i="8"/>
  <c r="R32" i="8"/>
  <c r="O32" i="8"/>
  <c r="M32" i="8"/>
  <c r="K32" i="8"/>
  <c r="J32" i="8"/>
  <c r="H32" i="8"/>
  <c r="G32" i="8"/>
  <c r="F32" i="8"/>
  <c r="E32" i="8"/>
  <c r="BS27" i="10"/>
  <c r="BR27" i="10"/>
  <c r="BP27" i="10"/>
  <c r="BN27" i="10"/>
  <c r="BU26" i="10"/>
  <c r="BT26" i="10"/>
  <c r="BS26" i="10"/>
  <c r="BR26" i="10"/>
  <c r="BP26" i="10"/>
  <c r="BN26" i="10"/>
  <c r="BM26" i="10"/>
  <c r="AF26" i="10"/>
  <c r="AD26" i="10"/>
  <c r="AB26" i="10"/>
  <c r="BU25" i="10"/>
  <c r="BT25" i="10"/>
  <c r="BS25" i="10"/>
  <c r="BM25" i="10"/>
  <c r="BF25" i="10"/>
  <c r="BD25" i="10"/>
  <c r="BB25" i="10"/>
  <c r="AZ25" i="10"/>
  <c r="AU25" i="10"/>
  <c r="AS25" i="10"/>
  <c r="AQ25" i="10"/>
  <c r="AO25" i="10"/>
  <c r="AH25" i="10"/>
  <c r="AG25" i="10"/>
  <c r="AF25" i="10"/>
  <c r="AD25" i="10"/>
  <c r="AB25" i="10"/>
  <c r="BU24" i="10"/>
  <c r="BS24" i="10"/>
  <c r="BF24" i="10"/>
  <c r="BD24" i="10"/>
  <c r="BB24" i="10"/>
  <c r="AZ24" i="10"/>
  <c r="AU24" i="10"/>
  <c r="AS24" i="10"/>
  <c r="AQ24" i="10"/>
  <c r="AO24" i="10"/>
  <c r="AH24" i="10"/>
  <c r="AD24" i="10"/>
  <c r="AB24" i="10"/>
  <c r="BU23" i="10"/>
  <c r="BS23" i="10"/>
  <c r="BH23" i="10"/>
  <c r="BG23" i="10"/>
  <c r="BF23" i="10"/>
  <c r="BD23" i="10"/>
  <c r="BB23" i="10"/>
  <c r="AZ23" i="10"/>
  <c r="AW23" i="10"/>
  <c r="U23" i="10"/>
  <c r="T23" i="10"/>
  <c r="S23" i="10"/>
  <c r="Q23" i="10"/>
  <c r="J23" i="10"/>
  <c r="I23" i="10"/>
  <c r="G23" i="10"/>
  <c r="E23" i="10"/>
  <c r="BU22" i="10"/>
  <c r="BS22" i="10"/>
  <c r="AH22" i="10"/>
  <c r="U22" i="10"/>
  <c r="T22" i="10"/>
  <c r="S22" i="10"/>
  <c r="Q22" i="10"/>
  <c r="J22" i="10"/>
  <c r="I22" i="10"/>
  <c r="G22" i="10"/>
  <c r="E22" i="10"/>
  <c r="BT21" i="10"/>
  <c r="BS21" i="10"/>
  <c r="BH21" i="10"/>
  <c r="BG21" i="10"/>
  <c r="BF21" i="10"/>
  <c r="BD21" i="10"/>
  <c r="BB21" i="10"/>
  <c r="AF21" i="10"/>
  <c r="J21" i="10"/>
  <c r="J20" i="10"/>
  <c r="BP19" i="10"/>
  <c r="BN19" i="10"/>
  <c r="BU18" i="10"/>
  <c r="BS18" i="10"/>
  <c r="BN18" i="10"/>
  <c r="AV18" i="10"/>
  <c r="AO18" i="10"/>
  <c r="BU17" i="10"/>
  <c r="BT17" i="10"/>
  <c r="BS17" i="10"/>
  <c r="BN17" i="10"/>
  <c r="AO17" i="10"/>
  <c r="S17" i="10"/>
  <c r="J17" i="10"/>
  <c r="BU16" i="10"/>
  <c r="BT16" i="10"/>
  <c r="BS16" i="10"/>
  <c r="BN16" i="10"/>
  <c r="AZ16" i="10"/>
  <c r="AV16" i="10"/>
  <c r="AU16" i="10"/>
  <c r="AS16" i="10"/>
  <c r="AQ16" i="10"/>
  <c r="AO16" i="10"/>
  <c r="AH16" i="10"/>
  <c r="BU15" i="10"/>
  <c r="BT15" i="10"/>
  <c r="BS15" i="10"/>
  <c r="BR15" i="10"/>
  <c r="BP15" i="10"/>
  <c r="BO15" i="10"/>
  <c r="BN15" i="10"/>
  <c r="BM15" i="10"/>
  <c r="BH15" i="10"/>
  <c r="BG15" i="10"/>
  <c r="BF15" i="10"/>
  <c r="BD15" i="10"/>
  <c r="BB15" i="10"/>
  <c r="AZ15" i="10"/>
  <c r="AV15" i="10"/>
  <c r="AU15" i="10"/>
  <c r="AS15" i="10"/>
  <c r="AQ15" i="10"/>
  <c r="AO15" i="10"/>
  <c r="AH15" i="10"/>
  <c r="AG15" i="10"/>
  <c r="AF15" i="10"/>
  <c r="AD15" i="10"/>
  <c r="AC15" i="10"/>
  <c r="AB15" i="10"/>
  <c r="T15" i="10"/>
  <c r="S15" i="10"/>
  <c r="Q15" i="10"/>
  <c r="J15" i="10"/>
  <c r="I15" i="10"/>
  <c r="H15" i="10"/>
  <c r="G15" i="10"/>
  <c r="F15" i="10"/>
  <c r="E15" i="10"/>
  <c r="BT14" i="10"/>
  <c r="BN14" i="10"/>
  <c r="BF14" i="10"/>
  <c r="BD14" i="10"/>
  <c r="BB14" i="10"/>
  <c r="AZ14" i="10"/>
  <c r="AV14" i="10"/>
  <c r="AU14" i="10"/>
  <c r="AS14" i="10"/>
  <c r="AQ14" i="10"/>
  <c r="AO14" i="10"/>
  <c r="AG14" i="10"/>
  <c r="AF14" i="10"/>
  <c r="AD14" i="10"/>
  <c r="J14" i="10"/>
  <c r="AY83" i="1"/>
  <c r="AW83" i="1"/>
  <c r="AR83" i="1"/>
  <c r="AQ83" i="1"/>
  <c r="AY82" i="1"/>
  <c r="AW82" i="1"/>
  <c r="AR82" i="1"/>
  <c r="AQ82" i="1"/>
  <c r="AY81" i="1"/>
  <c r="AW81" i="1"/>
  <c r="AQ81" i="1"/>
  <c r="AY80" i="1"/>
  <c r="AW80" i="1"/>
  <c r="AQ80" i="1"/>
  <c r="AY79" i="1"/>
  <c r="AW79" i="1"/>
  <c r="AQ79" i="1"/>
  <c r="AY78" i="1"/>
  <c r="AW78" i="1"/>
  <c r="AQ78" i="1"/>
  <c r="AY77" i="1"/>
  <c r="AW77" i="1"/>
  <c r="AQ77" i="1"/>
  <c r="AY76" i="1"/>
  <c r="AW76" i="1"/>
  <c r="AQ76" i="1"/>
  <c r="AY75" i="1"/>
  <c r="AW75" i="1"/>
  <c r="AQ75" i="1"/>
  <c r="AQ74" i="1"/>
  <c r="BB73" i="1"/>
  <c r="AY73" i="1"/>
  <c r="AW73" i="1"/>
  <c r="AT73" i="1"/>
  <c r="AS73" i="1"/>
  <c r="AQ73" i="1"/>
  <c r="BB72" i="1"/>
  <c r="AY72" i="1"/>
  <c r="AW72" i="1"/>
  <c r="AT72" i="1"/>
  <c r="AQ72" i="1"/>
  <c r="BB71" i="1"/>
  <c r="AY71" i="1"/>
  <c r="AW71" i="1"/>
  <c r="AT71" i="1"/>
  <c r="AQ71" i="1"/>
  <c r="AY70" i="1"/>
  <c r="AW70" i="1"/>
  <c r="AQ70" i="1"/>
  <c r="AY69" i="1"/>
  <c r="AW69" i="1"/>
  <c r="AQ69" i="1"/>
  <c r="AY68" i="1"/>
  <c r="AW68" i="1"/>
  <c r="AQ68" i="1"/>
  <c r="AY67" i="1"/>
  <c r="AW67" i="1"/>
  <c r="AQ67" i="1"/>
  <c r="AY66" i="1"/>
  <c r="AW66" i="1"/>
  <c r="AQ66" i="1"/>
  <c r="AY65" i="1"/>
  <c r="AW65" i="1"/>
  <c r="AQ65" i="1"/>
  <c r="AY64" i="1"/>
  <c r="AW64" i="1"/>
  <c r="AQ64" i="1"/>
  <c r="AY63" i="1"/>
  <c r="AW63" i="1"/>
  <c r="AQ63" i="1"/>
  <c r="AY62" i="1"/>
  <c r="AW62" i="1"/>
  <c r="AQ62" i="1"/>
  <c r="AY61" i="1"/>
  <c r="AW61" i="1"/>
  <c r="AQ61" i="1"/>
  <c r="AY60" i="1"/>
  <c r="AW60" i="1"/>
  <c r="AQ60" i="1"/>
  <c r="AY59" i="1"/>
  <c r="AW59" i="1"/>
  <c r="AQ59" i="1"/>
  <c r="AP59" i="1"/>
  <c r="AO59" i="1"/>
  <c r="AN59" i="1"/>
  <c r="BC58" i="1"/>
  <c r="BB58" i="1"/>
  <c r="AY58" i="1"/>
  <c r="AW58" i="1"/>
  <c r="AT58" i="1"/>
  <c r="AR58" i="1"/>
  <c r="AQ58" i="1"/>
  <c r="BC57" i="1"/>
  <c r="BB57" i="1"/>
  <c r="AZ57" i="1"/>
  <c r="AY57" i="1"/>
  <c r="AX57" i="1"/>
  <c r="AW57" i="1"/>
  <c r="AU57" i="1"/>
  <c r="AT57" i="1"/>
  <c r="AR57" i="1"/>
  <c r="AQ57" i="1"/>
  <c r="AP57" i="1"/>
  <c r="AO57" i="1"/>
  <c r="BC56" i="1"/>
  <c r="BB56" i="1"/>
  <c r="AZ56" i="1"/>
  <c r="AY56" i="1"/>
  <c r="AX56" i="1"/>
  <c r="AW56" i="1"/>
  <c r="AU56" i="1"/>
  <c r="AT56" i="1"/>
  <c r="AR56" i="1"/>
  <c r="AQ56" i="1"/>
  <c r="AP56" i="1"/>
  <c r="AO56" i="1"/>
  <c r="BC55" i="1"/>
  <c r="BB55" i="1"/>
  <c r="AZ55" i="1"/>
  <c r="AY55" i="1"/>
  <c r="AX55" i="1"/>
  <c r="AW55" i="1"/>
  <c r="AU55" i="1"/>
  <c r="AT55" i="1"/>
  <c r="AR55" i="1"/>
  <c r="AQ55" i="1"/>
  <c r="AP55" i="1"/>
  <c r="AO55" i="1"/>
  <c r="BC54" i="1"/>
  <c r="BB54" i="1"/>
  <c r="AZ54" i="1"/>
  <c r="AY54" i="1"/>
  <c r="AX54" i="1"/>
  <c r="AW54" i="1"/>
  <c r="AU54" i="1"/>
  <c r="AT54" i="1"/>
  <c r="AR54" i="1"/>
  <c r="AQ54" i="1"/>
  <c r="AP54" i="1"/>
  <c r="AO54" i="1"/>
  <c r="BC53" i="1"/>
  <c r="BB53" i="1"/>
  <c r="BA53" i="1"/>
  <c r="AZ53" i="1"/>
  <c r="AY53" i="1"/>
  <c r="AX53" i="1"/>
  <c r="AW53" i="1"/>
  <c r="AV53" i="1"/>
  <c r="AU53" i="1"/>
  <c r="AT53" i="1"/>
  <c r="AS53" i="1"/>
  <c r="AR53" i="1"/>
  <c r="AQ53" i="1"/>
  <c r="AP53" i="1"/>
  <c r="AO53" i="1"/>
  <c r="AN53" i="1"/>
  <c r="BC52" i="1"/>
  <c r="BB52" i="1"/>
  <c r="BA52" i="1"/>
  <c r="AZ52" i="1"/>
  <c r="AY52" i="1"/>
  <c r="AX52" i="1"/>
  <c r="AW52" i="1"/>
  <c r="AV52" i="1"/>
  <c r="AU52" i="1"/>
  <c r="AT52" i="1"/>
  <c r="AS52" i="1"/>
  <c r="AR52" i="1"/>
  <c r="AQ52" i="1"/>
  <c r="AP52" i="1"/>
  <c r="AO52" i="1"/>
  <c r="AN52" i="1"/>
  <c r="BC51" i="1"/>
  <c r="BB51" i="1"/>
  <c r="BA51" i="1"/>
  <c r="AZ51" i="1"/>
  <c r="AY51" i="1"/>
  <c r="AX51" i="1"/>
  <c r="AW51" i="1"/>
  <c r="AV51" i="1"/>
  <c r="AU51" i="1"/>
  <c r="AT51" i="1"/>
  <c r="AS51" i="1"/>
  <c r="AR51" i="1"/>
  <c r="AQ51" i="1"/>
  <c r="AP51" i="1"/>
  <c r="AO51" i="1"/>
  <c r="AN51" i="1"/>
  <c r="BC50" i="1"/>
  <c r="BB50" i="1"/>
  <c r="AZ50" i="1"/>
  <c r="AY50" i="1"/>
  <c r="AX50" i="1"/>
  <c r="AW50" i="1"/>
  <c r="AU50" i="1"/>
  <c r="AT50" i="1"/>
  <c r="AR50" i="1"/>
  <c r="AQ50" i="1"/>
  <c r="AP50" i="1"/>
  <c r="AO50" i="1"/>
  <c r="BC49" i="1"/>
  <c r="BB49" i="1"/>
  <c r="AX49" i="1"/>
  <c r="AW49" i="1"/>
  <c r="AU49" i="1"/>
  <c r="AT49" i="1"/>
  <c r="AP49" i="1"/>
  <c r="AO49" i="1"/>
  <c r="BC48" i="1"/>
  <c r="BB48" i="1"/>
  <c r="AZ48" i="1"/>
  <c r="AY48" i="1"/>
  <c r="AX48" i="1"/>
  <c r="AW48" i="1"/>
  <c r="AU48" i="1"/>
  <c r="AT48" i="1"/>
  <c r="AR48" i="1"/>
  <c r="AQ48" i="1"/>
  <c r="AP48" i="1"/>
  <c r="AO48" i="1"/>
  <c r="BC47" i="1"/>
  <c r="BB47" i="1"/>
  <c r="BA47" i="1"/>
  <c r="AZ47" i="1"/>
  <c r="AY47" i="1"/>
  <c r="AX47" i="1"/>
  <c r="AW47" i="1"/>
  <c r="AV47" i="1"/>
  <c r="AU47" i="1"/>
  <c r="AT47" i="1"/>
  <c r="AS47" i="1"/>
  <c r="AR47" i="1"/>
  <c r="AP47" i="1"/>
  <c r="AO47" i="1"/>
  <c r="AN47" i="1"/>
  <c r="BC46" i="1"/>
  <c r="BB46" i="1"/>
  <c r="BA46" i="1"/>
  <c r="AZ46" i="1"/>
  <c r="AY46" i="1"/>
  <c r="AX46" i="1"/>
  <c r="AW46" i="1"/>
  <c r="AV46" i="1"/>
  <c r="AU46" i="1"/>
  <c r="AT46" i="1"/>
  <c r="AS46" i="1"/>
  <c r="AR46" i="1"/>
  <c r="AP46" i="1"/>
  <c r="AO46" i="1"/>
  <c r="AN46" i="1"/>
  <c r="BC45" i="1"/>
  <c r="BB45" i="1"/>
  <c r="AZ45" i="1"/>
  <c r="AY45" i="1"/>
  <c r="AX45" i="1"/>
  <c r="AW45" i="1"/>
  <c r="AU45" i="1"/>
  <c r="AT45" i="1"/>
  <c r="AR45" i="1"/>
  <c r="AQ45" i="1"/>
  <c r="AP45" i="1"/>
  <c r="AO45" i="1"/>
  <c r="BC44" i="1"/>
  <c r="BB44" i="1"/>
  <c r="AZ44" i="1"/>
  <c r="AY44" i="1"/>
  <c r="AX44" i="1"/>
  <c r="AW44" i="1"/>
  <c r="AU44" i="1"/>
  <c r="AT44" i="1"/>
  <c r="AR44" i="1"/>
  <c r="AQ44" i="1"/>
  <c r="AP44" i="1"/>
  <c r="AO44" i="1"/>
  <c r="BC43" i="1"/>
  <c r="BB43" i="1"/>
  <c r="BA43" i="1"/>
  <c r="AZ43" i="1"/>
  <c r="AY43" i="1"/>
  <c r="AX43" i="1"/>
  <c r="AW43" i="1"/>
  <c r="AU43" i="1"/>
  <c r="AT43" i="1"/>
  <c r="AS43" i="1"/>
  <c r="AQ43" i="1"/>
  <c r="AP43" i="1"/>
  <c r="AO43" i="1"/>
  <c r="AN43" i="1"/>
  <c r="BC42" i="1"/>
  <c r="BB42" i="1"/>
  <c r="BA42" i="1"/>
  <c r="AZ42" i="1"/>
  <c r="AY42" i="1"/>
  <c r="AX42" i="1"/>
  <c r="AW42" i="1"/>
  <c r="AU42" i="1"/>
  <c r="AT42" i="1"/>
  <c r="AS42" i="1"/>
  <c r="AQ42" i="1"/>
  <c r="AP42" i="1"/>
  <c r="AO42" i="1"/>
  <c r="AN42" i="1"/>
  <c r="BC41" i="1"/>
  <c r="BB41" i="1"/>
  <c r="BA41" i="1"/>
  <c r="AY41" i="1"/>
  <c r="AX41" i="1"/>
  <c r="AW41" i="1"/>
  <c r="AV41" i="1"/>
  <c r="AU41" i="1"/>
  <c r="AT41" i="1"/>
  <c r="AS41" i="1"/>
  <c r="AQ41" i="1"/>
  <c r="AP41" i="1"/>
  <c r="AO41" i="1"/>
  <c r="AN41" i="1"/>
  <c r="BC40" i="1"/>
  <c r="BB40" i="1"/>
  <c r="BA40" i="1"/>
  <c r="AZ40" i="1"/>
  <c r="AY40" i="1"/>
  <c r="AX40" i="1"/>
  <c r="AW40" i="1"/>
  <c r="AU40" i="1"/>
  <c r="AT40" i="1"/>
  <c r="AR40" i="1"/>
  <c r="AQ40" i="1"/>
  <c r="AP40" i="1"/>
  <c r="AO40" i="1"/>
  <c r="AW37" i="1"/>
  <c r="AT37" i="1"/>
  <c r="AQ37" i="1"/>
  <c r="AO37" i="1"/>
  <c r="BC36" i="1"/>
  <c r="BB36" i="1"/>
  <c r="AY36" i="1"/>
  <c r="AW36" i="1"/>
  <c r="AU36" i="1"/>
  <c r="AT36" i="1"/>
  <c r="AR36" i="1"/>
  <c r="AQ36" i="1"/>
  <c r="AP36" i="1"/>
  <c r="AO36" i="1"/>
  <c r="BC35" i="1"/>
  <c r="BB35" i="1"/>
  <c r="BA35" i="1"/>
  <c r="AY35" i="1"/>
  <c r="AW35" i="1"/>
  <c r="AU35" i="1"/>
  <c r="AT35" i="1"/>
  <c r="AS35" i="1"/>
  <c r="AR35" i="1"/>
  <c r="AQ35" i="1"/>
  <c r="AP35" i="1"/>
  <c r="AO35" i="1"/>
  <c r="BC34" i="1"/>
  <c r="BB34" i="1"/>
  <c r="AY34" i="1"/>
  <c r="AW34" i="1"/>
  <c r="AU34" i="1"/>
  <c r="AT34" i="1"/>
  <c r="AR34" i="1"/>
  <c r="AQ34" i="1"/>
  <c r="AP34" i="1"/>
  <c r="AO34" i="1"/>
  <c r="BC33" i="1"/>
  <c r="BB33" i="1"/>
  <c r="AY33" i="1"/>
  <c r="AW33" i="1"/>
  <c r="AU33" i="1"/>
  <c r="AT33" i="1"/>
  <c r="AR33" i="1"/>
  <c r="AQ33" i="1"/>
  <c r="AP33" i="1"/>
  <c r="AO33" i="1"/>
  <c r="BC32" i="1"/>
  <c r="BB32" i="1"/>
  <c r="AY32" i="1"/>
  <c r="AW32" i="1"/>
  <c r="AU32" i="1"/>
  <c r="AT32" i="1"/>
  <c r="AR32" i="1"/>
  <c r="AQ32" i="1"/>
  <c r="AP32" i="1"/>
  <c r="BC31" i="1"/>
  <c r="BB31" i="1"/>
  <c r="AY31" i="1"/>
  <c r="AW31" i="1"/>
  <c r="AU31" i="1"/>
  <c r="AT31" i="1"/>
  <c r="AR31" i="1"/>
  <c r="AQ31" i="1"/>
  <c r="AP31" i="1"/>
  <c r="BC30" i="1"/>
  <c r="BB30" i="1"/>
  <c r="AY30" i="1"/>
  <c r="AW30" i="1"/>
  <c r="AU30" i="1"/>
  <c r="AT30" i="1"/>
  <c r="AR30" i="1"/>
  <c r="AQ30" i="1"/>
  <c r="AP30" i="1"/>
  <c r="BC29" i="1"/>
  <c r="BB29" i="1"/>
  <c r="AY29" i="1"/>
  <c r="AW29" i="1"/>
  <c r="AU29" i="1"/>
  <c r="AT29" i="1"/>
  <c r="AR29" i="1"/>
  <c r="AQ29" i="1"/>
  <c r="AP29" i="1"/>
  <c r="AO29" i="1"/>
  <c r="BC28" i="1"/>
  <c r="BB28" i="1"/>
  <c r="AY28" i="1"/>
  <c r="AW28" i="1"/>
  <c r="AU28" i="1"/>
  <c r="AT28" i="1"/>
  <c r="AR28" i="1"/>
  <c r="AQ28" i="1"/>
  <c r="AP28" i="1"/>
  <c r="AO28" i="1"/>
  <c r="BC27" i="1"/>
  <c r="BB27" i="1"/>
  <c r="BA27" i="1"/>
  <c r="AY27" i="1"/>
  <c r="AW27" i="1"/>
  <c r="AU27" i="1"/>
  <c r="AT27" i="1"/>
  <c r="AS27" i="1"/>
  <c r="AR27" i="1"/>
  <c r="AQ27" i="1"/>
  <c r="AN27" i="1"/>
  <c r="BG15" i="1"/>
  <c r="BG16" i="1" s="1"/>
  <c r="BC26" i="1"/>
  <c r="BB26" i="1"/>
  <c r="BA26" i="1"/>
  <c r="AY26" i="1"/>
  <c r="AW26" i="1"/>
  <c r="AU26" i="1"/>
  <c r="AT26" i="1"/>
  <c r="AS26" i="1"/>
  <c r="AR26" i="1"/>
  <c r="AQ26" i="1"/>
  <c r="AP26" i="1"/>
  <c r="AO26" i="1"/>
  <c r="AN26" i="1"/>
  <c r="BC25" i="1"/>
  <c r="BB25" i="1"/>
  <c r="BA25" i="1"/>
  <c r="AY25" i="1"/>
  <c r="AW25" i="1"/>
  <c r="AU25" i="1"/>
  <c r="AT25" i="1"/>
  <c r="AS25" i="1"/>
  <c r="AR25" i="1"/>
  <c r="AQ25" i="1"/>
  <c r="AP25" i="1"/>
  <c r="AO25" i="1"/>
  <c r="AN25" i="1"/>
  <c r="AH24" i="1"/>
  <c r="AB24" i="1"/>
  <c r="AB15" i="1" s="1"/>
  <c r="AB25" i="1" s="1"/>
  <c r="AB26" i="1" s="1"/>
  <c r="BC24" i="1"/>
  <c r="BB24" i="1"/>
  <c r="BA24" i="1"/>
  <c r="AY24" i="1"/>
  <c r="AW24" i="1"/>
  <c r="AU24" i="1"/>
  <c r="AT24" i="1"/>
  <c r="AS24" i="1"/>
  <c r="AR24" i="1"/>
  <c r="AQ24" i="1"/>
  <c r="AP24" i="1"/>
  <c r="AO24" i="1"/>
  <c r="AN24" i="1"/>
  <c r="BC23" i="1"/>
  <c r="BB23" i="1"/>
  <c r="BA23" i="1"/>
  <c r="AY23" i="1"/>
  <c r="AW23" i="1"/>
  <c r="AU23" i="1"/>
  <c r="AT23" i="1"/>
  <c r="AS23" i="1"/>
  <c r="AR23" i="1"/>
  <c r="AQ23" i="1"/>
  <c r="AP23" i="1"/>
  <c r="AO23" i="1"/>
  <c r="AN23" i="1"/>
  <c r="AH22" i="1"/>
  <c r="U22" i="1"/>
  <c r="U23" i="1" s="1"/>
  <c r="AF21" i="1"/>
  <c r="J21" i="1"/>
  <c r="BC20" i="1"/>
  <c r="BB20" i="1"/>
  <c r="AY20" i="1"/>
  <c r="AW20" i="1"/>
  <c r="AU20" i="1"/>
  <c r="AT20" i="1"/>
  <c r="AR20" i="1"/>
  <c r="AQ20" i="1"/>
  <c r="AP20" i="1"/>
  <c r="AO20" i="1"/>
  <c r="J20" i="1"/>
  <c r="BC19" i="1"/>
  <c r="BB19" i="1"/>
  <c r="BA19" i="1"/>
  <c r="AW19" i="1"/>
  <c r="AU19" i="1"/>
  <c r="AT19" i="1"/>
  <c r="AS19" i="1"/>
  <c r="AR19" i="1"/>
  <c r="AQ19" i="1"/>
  <c r="AP19" i="1"/>
  <c r="AO19" i="1"/>
  <c r="AN19" i="1"/>
  <c r="BC18" i="1"/>
  <c r="BB18" i="1"/>
  <c r="BA18" i="1"/>
  <c r="AY18" i="1"/>
  <c r="AW18" i="1"/>
  <c r="AU18" i="1"/>
  <c r="AT18" i="1"/>
  <c r="AS18" i="1"/>
  <c r="AR18" i="1"/>
  <c r="AQ18" i="1"/>
  <c r="AP18" i="1"/>
  <c r="AO18" i="1"/>
  <c r="AN18" i="1"/>
  <c r="BC17" i="1"/>
  <c r="BB17" i="1"/>
  <c r="BA17" i="1"/>
  <c r="AY17" i="1"/>
  <c r="AW17" i="1"/>
  <c r="AV17" i="1"/>
  <c r="AU17" i="1"/>
  <c r="AT17" i="1"/>
  <c r="AS17" i="1"/>
  <c r="AR17" i="1"/>
  <c r="AQ17" i="1"/>
  <c r="AP17" i="1"/>
  <c r="AO17" i="1"/>
  <c r="AN17" i="1"/>
  <c r="S17" i="1"/>
  <c r="S15" i="1" s="1"/>
  <c r="S22" i="1" s="1"/>
  <c r="S23" i="1" s="1"/>
  <c r="J17" i="1"/>
  <c r="BC16" i="1"/>
  <c r="BB16" i="1"/>
  <c r="AY16" i="1"/>
  <c r="AW16" i="1"/>
  <c r="AU16" i="1"/>
  <c r="AT16" i="1"/>
  <c r="AR16" i="1"/>
  <c r="AQ16" i="1"/>
  <c r="AP16" i="1"/>
  <c r="AO16" i="1"/>
  <c r="AH16" i="1"/>
  <c r="BC15" i="1"/>
  <c r="BB15" i="1"/>
  <c r="AY15" i="1"/>
  <c r="AW15" i="1"/>
  <c r="AU15" i="1"/>
  <c r="AT15" i="1"/>
  <c r="AR15" i="1"/>
  <c r="AQ15" i="1"/>
  <c r="AP15" i="1"/>
  <c r="AO15" i="1"/>
  <c r="AG15" i="1"/>
  <c r="AC15" i="1"/>
  <c r="T15" i="1"/>
  <c r="T22" i="1" s="1"/>
  <c r="T23" i="1" s="1"/>
  <c r="Q15" i="1"/>
  <c r="Q22" i="1" s="1"/>
  <c r="Q23" i="1" s="1"/>
  <c r="I15" i="1"/>
  <c r="I22" i="1" s="1"/>
  <c r="H15" i="1"/>
  <c r="G15" i="1"/>
  <c r="G22" i="1" s="1"/>
  <c r="G23" i="1" s="1"/>
  <c r="F15" i="1"/>
  <c r="E15" i="1"/>
  <c r="E22" i="1" s="1"/>
  <c r="E23" i="1" s="1"/>
  <c r="AD14" i="1"/>
  <c r="AF14" i="1" s="1"/>
  <c r="AG14" i="1" s="1"/>
  <c r="J14" i="1"/>
  <c r="BH28" i="1" l="1"/>
  <c r="BH22" i="1" s="1"/>
  <c r="BH14" i="1"/>
  <c r="X94" i="9"/>
  <c r="Z94" i="9" s="1"/>
  <c r="AA94" i="9" s="1"/>
  <c r="Q73" i="9"/>
  <c r="S73" i="9" s="1"/>
  <c r="X92" i="9"/>
  <c r="Z92" i="9" s="1"/>
  <c r="AA92" i="9" s="1"/>
  <c r="X115" i="9"/>
  <c r="Z115" i="9" s="1"/>
  <c r="AA115" i="9" s="1"/>
  <c r="M67" i="6"/>
  <c r="M66" i="6" s="1"/>
  <c r="M64" i="6" s="1"/>
  <c r="K185" i="6"/>
  <c r="BJ56" i="1"/>
  <c r="P130" i="6"/>
  <c r="AG68" i="9"/>
  <c r="X88" i="9"/>
  <c r="Z88" i="9" s="1"/>
  <c r="AA88" i="9" s="1"/>
  <c r="J106" i="9"/>
  <c r="J105" i="9" s="1"/>
  <c r="P120" i="6"/>
  <c r="C212" i="6"/>
  <c r="D212" i="6" s="1"/>
  <c r="C223" i="6"/>
  <c r="D223" i="6" s="1"/>
  <c r="D170" i="6"/>
  <c r="C171" i="6"/>
  <c r="D142" i="6"/>
  <c r="P66" i="6"/>
  <c r="Q66" i="6" s="1"/>
  <c r="Q147" i="6"/>
  <c r="P151" i="6"/>
  <c r="Q151" i="6" s="1"/>
  <c r="P157" i="6"/>
  <c r="C224" i="6"/>
  <c r="D224" i="6" s="1"/>
  <c r="P60" i="6"/>
  <c r="Q60" i="6" s="1"/>
  <c r="P214" i="6"/>
  <c r="P121" i="6" s="1"/>
  <c r="BJ22" i="1"/>
  <c r="BJ29" i="1" s="1"/>
  <c r="BJ16" i="1" s="1"/>
  <c r="Z65" i="9"/>
  <c r="AF65" i="9"/>
  <c r="Y65" i="9"/>
  <c r="K157" i="6"/>
  <c r="K170" i="6" s="1"/>
  <c r="K171" i="6" s="1"/>
  <c r="K174" i="6" s="1"/>
  <c r="J73" i="9"/>
  <c r="K73" i="9" s="1"/>
  <c r="AG75" i="9"/>
  <c r="AA76" i="9"/>
  <c r="X77" i="9"/>
  <c r="J95" i="9"/>
  <c r="Q99" i="9"/>
  <c r="N65" i="6"/>
  <c r="N64" i="6" s="1"/>
  <c r="N77" i="6" s="1"/>
  <c r="R77" i="9"/>
  <c r="S90" i="9"/>
  <c r="S96" i="9"/>
  <c r="Q95" i="9"/>
  <c r="R65" i="9"/>
  <c r="X93" i="9"/>
  <c r="Z93" i="9" s="1"/>
  <c r="AA93" i="9" s="1"/>
  <c r="S65" i="9"/>
  <c r="AG65" i="9" s="1"/>
  <c r="X70" i="9"/>
  <c r="Y70" i="9" s="1"/>
  <c r="S89" i="9"/>
  <c r="S91" i="9"/>
  <c r="S97" i="9"/>
  <c r="J112" i="9"/>
  <c r="K112" i="9" s="1"/>
  <c r="N103" i="6"/>
  <c r="J63" i="9"/>
  <c r="Q112" i="9"/>
  <c r="S112" i="9" s="1"/>
  <c r="K196" i="6"/>
  <c r="K195" i="6" s="1"/>
  <c r="K95" i="9"/>
  <c r="S100" i="9"/>
  <c r="X114" i="9"/>
  <c r="Z114" i="9" s="1"/>
  <c r="AA114" i="9" s="1"/>
  <c r="X78" i="9"/>
  <c r="R78" i="9"/>
  <c r="S78" i="9"/>
  <c r="AF70" i="9"/>
  <c r="Z96" i="9"/>
  <c r="AA96" i="9" s="1"/>
  <c r="X95" i="9"/>
  <c r="Z95" i="9" s="1"/>
  <c r="AA95" i="9" s="1"/>
  <c r="AA85" i="9"/>
  <c r="N82" i="6"/>
  <c r="O127" i="8"/>
  <c r="AY74" i="1" s="1"/>
  <c r="L67" i="6"/>
  <c r="Q57" i="9"/>
  <c r="X56" i="9"/>
  <c r="R56" i="9"/>
  <c r="AF71" i="9"/>
  <c r="Z71" i="9"/>
  <c r="K59" i="6"/>
  <c r="L59" i="6" s="1"/>
  <c r="L57" i="6" s="1"/>
  <c r="M77" i="6"/>
  <c r="AA65" i="9"/>
  <c r="Z100" i="9"/>
  <c r="AA100" i="9" s="1"/>
  <c r="X99" i="9"/>
  <c r="K95" i="6"/>
  <c r="N95" i="6" s="1"/>
  <c r="N96" i="6"/>
  <c r="K100" i="9"/>
  <c r="K99" i="9" s="1"/>
  <c r="K98" i="9" s="1"/>
  <c r="J99" i="9"/>
  <c r="J98" i="9" s="1"/>
  <c r="K106" i="9"/>
  <c r="K105" i="9" s="1"/>
  <c r="O61" i="9"/>
  <c r="X74" i="9"/>
  <c r="M62" i="8"/>
  <c r="K64" i="6"/>
  <c r="K77" i="6" s="1"/>
  <c r="L66" i="6"/>
  <c r="L69" i="6"/>
  <c r="N105" i="6"/>
  <c r="S85" i="9"/>
  <c r="S86" i="9"/>
  <c r="Q106" i="9"/>
  <c r="S107" i="9"/>
  <c r="J69" i="9"/>
  <c r="K69" i="9" s="1"/>
  <c r="X107" i="9"/>
  <c r="K67" i="9"/>
  <c r="K66" i="9" s="1"/>
  <c r="K64" i="9" s="1"/>
  <c r="K242" i="9" s="1"/>
  <c r="Q69" i="9"/>
  <c r="R70" i="9"/>
  <c r="S71" i="9"/>
  <c r="R73" i="9"/>
  <c r="R74" i="9"/>
  <c r="Q67" i="9"/>
  <c r="AG25" i="1"/>
  <c r="AQ84" i="1"/>
  <c r="AY84" i="1"/>
  <c r="AD24" i="1"/>
  <c r="AD15" i="1" s="1"/>
  <c r="AD25" i="1" s="1"/>
  <c r="AD26" i="1" s="1"/>
  <c r="AW84" i="1"/>
  <c r="H170" i="8"/>
  <c r="G179" i="8"/>
  <c r="H179" i="8" s="1"/>
  <c r="J22" i="1"/>
  <c r="I23" i="1"/>
  <c r="J23" i="1" s="1"/>
  <c r="J15" i="1"/>
  <c r="AF15" i="1"/>
  <c r="K175" i="8"/>
  <c r="BH29" i="1" l="1"/>
  <c r="BH15" i="1"/>
  <c r="BH16" i="1" s="1"/>
  <c r="Z70" i="9"/>
  <c r="AG70" i="9" s="1"/>
  <c r="X69" i="9"/>
  <c r="P64" i="6"/>
  <c r="Q64" i="6" s="1"/>
  <c r="Q157" i="6"/>
  <c r="P170" i="6"/>
  <c r="K173" i="6"/>
  <c r="C172" i="6"/>
  <c r="D172" i="6" s="1"/>
  <c r="D171" i="6"/>
  <c r="X112" i="9"/>
  <c r="Z112" i="9" s="1"/>
  <c r="AA112" i="9" s="1"/>
  <c r="S95" i="9"/>
  <c r="Q98" i="9"/>
  <c r="S98" i="9" s="1"/>
  <c r="S99" i="9"/>
  <c r="Y77" i="9"/>
  <c r="AF77" i="9"/>
  <c r="Z77" i="9"/>
  <c r="Z107" i="9"/>
  <c r="AA107" i="9" s="1"/>
  <c r="X106" i="9"/>
  <c r="X127" i="9"/>
  <c r="X128" i="9" s="1"/>
  <c r="AG71" i="9"/>
  <c r="AA71" i="9"/>
  <c r="AA70" i="9"/>
  <c r="Y56" i="9"/>
  <c r="AF56" i="9"/>
  <c r="L64" i="6"/>
  <c r="L77" i="6" s="1"/>
  <c r="J64" i="9"/>
  <c r="R57" i="9"/>
  <c r="S232" i="9"/>
  <c r="X57" i="9"/>
  <c r="Q58" i="9"/>
  <c r="R67" i="9"/>
  <c r="Q66" i="9"/>
  <c r="X67" i="9"/>
  <c r="S67" i="9"/>
  <c r="S69" i="9"/>
  <c r="R69" i="9"/>
  <c r="AF74" i="9"/>
  <c r="Z74" i="9"/>
  <c r="Y74" i="9"/>
  <c r="X73" i="9"/>
  <c r="K80" i="6"/>
  <c r="K81" i="6"/>
  <c r="S106" i="9"/>
  <c r="Q105" i="9"/>
  <c r="S105" i="9" s="1"/>
  <c r="Z99" i="9"/>
  <c r="AA99" i="9" s="1"/>
  <c r="X98" i="9"/>
  <c r="Z98" i="9" s="1"/>
  <c r="AA98" i="9" s="1"/>
  <c r="AF69" i="9"/>
  <c r="Z69" i="9"/>
  <c r="Y69" i="9"/>
  <c r="Z78" i="9"/>
  <c r="Y78" i="9"/>
  <c r="AF78" i="9"/>
  <c r="BK16" i="1"/>
  <c r="BL16" i="1" s="1"/>
  <c r="AF25" i="1"/>
  <c r="AF26" i="1" s="1"/>
  <c r="AH15" i="1"/>
  <c r="AH25" i="1" s="1"/>
  <c r="P77" i="6" l="1"/>
  <c r="Q77" i="6" s="1"/>
  <c r="Q170" i="6"/>
  <c r="P171" i="6"/>
  <c r="AA77" i="9"/>
  <c r="AG77" i="9"/>
  <c r="Q60" i="9"/>
  <c r="Q61" i="9"/>
  <c r="AA74" i="9"/>
  <c r="AG74" i="9"/>
  <c r="Z67" i="9"/>
  <c r="Y67" i="9"/>
  <c r="X66" i="9"/>
  <c r="AF67" i="9"/>
  <c r="Q64" i="9"/>
  <c r="S66" i="9"/>
  <c r="S64" i="9" s="1"/>
  <c r="R66" i="9"/>
  <c r="J242" i="9"/>
  <c r="J79" i="9"/>
  <c r="J82" i="9" s="1"/>
  <c r="J55" i="9"/>
  <c r="AA78" i="9"/>
  <c r="AG78" i="9"/>
  <c r="X58" i="9"/>
  <c r="R58" i="9"/>
  <c r="Z106" i="9"/>
  <c r="AA106" i="9" s="1"/>
  <c r="X105" i="9"/>
  <c r="Z105" i="9" s="1"/>
  <c r="AA105" i="9" s="1"/>
  <c r="AA69" i="9"/>
  <c r="AG69" i="9"/>
  <c r="AF73" i="9"/>
  <c r="Z73" i="9"/>
  <c r="Y73" i="9"/>
  <c r="AF57" i="9"/>
  <c r="Y57" i="9"/>
  <c r="P211" i="6" l="1"/>
  <c r="Q171" i="6"/>
  <c r="P78" i="6"/>
  <c r="Q78" i="6" s="1"/>
  <c r="P173" i="6"/>
  <c r="AA73" i="9"/>
  <c r="AG73" i="9"/>
  <c r="AA67" i="9"/>
  <c r="AG67" i="9"/>
  <c r="X61" i="9"/>
  <c r="R61" i="9"/>
  <c r="Q87" i="9"/>
  <c r="Z66" i="9"/>
  <c r="Y66" i="9"/>
  <c r="X64" i="9"/>
  <c r="AF66" i="9"/>
  <c r="S55" i="9"/>
  <c r="S79" i="9"/>
  <c r="AF58" i="9"/>
  <c r="Y58" i="9"/>
  <c r="R64" i="9"/>
  <c r="Q59" i="9"/>
  <c r="R60" i="9"/>
  <c r="J60" i="9"/>
  <c r="Q173" i="6" l="1"/>
  <c r="P80" i="6"/>
  <c r="Q80" i="6" s="1"/>
  <c r="P174" i="6"/>
  <c r="P118" i="6"/>
  <c r="P212" i="6"/>
  <c r="AA66" i="9"/>
  <c r="AG66" i="9"/>
  <c r="X87" i="9"/>
  <c r="Z87" i="9" s="1"/>
  <c r="S87" i="9"/>
  <c r="S84" i="9" s="1"/>
  <c r="V235" i="9" s="1"/>
  <c r="V236" i="9" s="1"/>
  <c r="K60" i="9"/>
  <c r="J61" i="9"/>
  <c r="K61" i="9" s="1"/>
  <c r="R59" i="9"/>
  <c r="X59" i="9"/>
  <c r="Q63" i="9"/>
  <c r="Q79" i="9"/>
  <c r="Q55" i="9"/>
  <c r="S242" i="9"/>
  <c r="Y61" i="9"/>
  <c r="X133" i="9"/>
  <c r="Z64" i="9"/>
  <c r="Y64" i="9"/>
  <c r="AF64" i="9"/>
  <c r="Q242" i="9"/>
  <c r="P216" i="6" l="1"/>
  <c r="P119" i="6"/>
  <c r="Q174" i="6"/>
  <c r="P81" i="6"/>
  <c r="Q81" i="6" s="1"/>
  <c r="P223" i="6"/>
  <c r="AA64" i="9"/>
  <c r="Z79" i="9"/>
  <c r="AG79" i="9" s="1"/>
  <c r="AG64" i="9"/>
  <c r="Z55" i="9"/>
  <c r="R63" i="9"/>
  <c r="R55" i="9"/>
  <c r="X60" i="9"/>
  <c r="AF59" i="9"/>
  <c r="Y59" i="9"/>
  <c r="X79" i="9"/>
  <c r="X55" i="9"/>
  <c r="X63" i="9"/>
  <c r="K59" i="9"/>
  <c r="AA87" i="9"/>
  <c r="AA84" i="9" s="1"/>
  <c r="Z84" i="9"/>
  <c r="R79" i="9"/>
  <c r="Q82" i="9"/>
  <c r="Q80" i="9" s="1"/>
  <c r="AF80" i="9" s="1"/>
  <c r="AF242" i="9"/>
  <c r="P224" i="6" l="1"/>
  <c r="P136" i="6" s="1"/>
  <c r="P135" i="6"/>
  <c r="P131" i="6"/>
  <c r="P127" i="6"/>
  <c r="P129" i="6" s="1"/>
  <c r="P123" i="6"/>
  <c r="P125" i="6" s="1"/>
  <c r="P218" i="6"/>
  <c r="K63" i="9"/>
  <c r="K79" i="9"/>
  <c r="K82" i="9" s="1"/>
  <c r="K55" i="9"/>
  <c r="AF60" i="9"/>
  <c r="Y60" i="9"/>
  <c r="Y79" i="9"/>
  <c r="AF79" i="9"/>
  <c r="Y63" i="9"/>
  <c r="Y55" i="9"/>
  <c r="AA79" i="9"/>
  <c r="AA55" i="9"/>
</calcChain>
</file>

<file path=xl/comments1.xml><?xml version="1.0" encoding="utf-8"?>
<comments xmlns="http://schemas.openxmlformats.org/spreadsheetml/2006/main" xmlns:mc="http://schemas.openxmlformats.org/markup-compatibility/2006" xmlns:xr="http://schemas.microsoft.com/office/spreadsheetml/2014/revision" mc:Ignorable="xr">
  <authors>
    <author>75818</author>
  </authors>
  <commentList>
    <comment ref="G40" authorId="0" shapeId="0" xr:uid="{00000000-0006-0000-0200-000001000000}">
      <text>
        <r>
          <rPr>
            <b/>
            <sz val="9"/>
            <rFont val="宋体"/>
            <charset val="134"/>
          </rPr>
          <t>75818:</t>
        </r>
        <r>
          <rPr>
            <sz val="9"/>
            <rFont val="宋体"/>
            <charset val="134"/>
          </rPr>
          <t xml:space="preserve">
含资本化利息（开发贷利息支出29429267.42元）</t>
        </r>
      </text>
    </comment>
    <comment ref="M40" authorId="0" shapeId="0" xr:uid="{00000000-0006-0000-0200-000002000000}">
      <text>
        <r>
          <rPr>
            <b/>
            <sz val="9"/>
            <rFont val="宋体"/>
            <charset val="134"/>
          </rPr>
          <t>75818:</t>
        </r>
        <r>
          <rPr>
            <sz val="9"/>
            <rFont val="宋体"/>
            <charset val="134"/>
          </rPr>
          <t xml:space="preserve">
含资本化利息45133117.82元</t>
        </r>
      </text>
    </comment>
    <comment ref="G41" authorId="0" shapeId="0" xr:uid="{00000000-0006-0000-0200-000003000000}">
      <text>
        <r>
          <rPr>
            <b/>
            <sz val="9"/>
            <rFont val="宋体"/>
            <charset val="134"/>
          </rPr>
          <t>75818:</t>
        </r>
        <r>
          <rPr>
            <sz val="9"/>
            <rFont val="宋体"/>
            <charset val="134"/>
          </rPr>
          <t xml:space="preserve">
含资本化利息（开发贷利息支出29429267.42元）</t>
        </r>
      </text>
    </comment>
    <comment ref="M86" authorId="0" shapeId="0" xr:uid="{00000000-0006-0000-0200-000004000000}">
      <text>
        <r>
          <rPr>
            <b/>
            <sz val="9"/>
            <rFont val="宋体"/>
            <charset val="134"/>
          </rPr>
          <t>75818:</t>
        </r>
        <r>
          <rPr>
            <sz val="9"/>
            <rFont val="宋体"/>
            <charset val="134"/>
          </rPr>
          <t xml:space="preserve">
含资本化利息45133117.82元</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75818</author>
  </authors>
  <commentList>
    <comment ref="Q59" authorId="0" shapeId="0" xr:uid="{00000000-0006-0000-0600-000001000000}">
      <text>
        <r>
          <rPr>
            <b/>
            <sz val="9"/>
            <rFont val="宋体"/>
            <charset val="134"/>
          </rPr>
          <t>75818:</t>
        </r>
        <r>
          <rPr>
            <sz val="9"/>
            <rFont val="宋体"/>
            <charset val="134"/>
          </rPr>
          <t xml:space="preserve">
含资本化利息（开发贷利息支出29429267.42元）</t>
        </r>
      </text>
    </comment>
    <comment ref="X59" authorId="0" shapeId="0" xr:uid="{00000000-0006-0000-0600-000002000000}">
      <text>
        <r>
          <rPr>
            <b/>
            <sz val="9"/>
            <rFont val="宋体"/>
            <charset val="134"/>
          </rPr>
          <t>75818:</t>
        </r>
        <r>
          <rPr>
            <sz val="9"/>
            <rFont val="宋体"/>
            <charset val="134"/>
          </rPr>
          <t xml:space="preserve">
含资本化利息45133117.82元</t>
        </r>
      </text>
    </comment>
  </commentList>
</comments>
</file>

<file path=xl/sharedStrings.xml><?xml version="1.0" encoding="utf-8"?>
<sst xmlns="http://schemas.openxmlformats.org/spreadsheetml/2006/main" count="2676" uniqueCount="648">
  <si>
    <t>永华工业园</t>
  </si>
  <si>
    <t>南站（惠阳景恒+南站新城）</t>
  </si>
  <si>
    <t>金山湖</t>
  </si>
  <si>
    <t>海景嘉福</t>
  </si>
  <si>
    <t xml:space="preserve">    </t>
  </si>
  <si>
    <t xml:space="preserve"> 合作协议21年5月签订</t>
  </si>
  <si>
    <t>金山湖项目</t>
  </si>
  <si>
    <t>四项目投资汇总</t>
  </si>
  <si>
    <t>序号</t>
  </si>
  <si>
    <r>
      <rPr>
        <b/>
        <sz val="8"/>
        <color theme="1"/>
        <rFont val="微软雅黑"/>
        <charset val="134"/>
      </rPr>
      <t xml:space="preserve">项目
</t>
    </r>
    <r>
      <rPr>
        <b/>
        <sz val="6"/>
        <color theme="1"/>
        <rFont val="微软雅黑"/>
        <charset val="134"/>
      </rPr>
      <t>（单位：亿元）</t>
    </r>
  </si>
  <si>
    <r>
      <rPr>
        <b/>
        <sz val="8"/>
        <color theme="1"/>
        <rFont val="微软雅黑"/>
        <charset val="134"/>
      </rPr>
      <t>投决测算</t>
    </r>
    <r>
      <rPr>
        <b/>
        <sz val="6"/>
        <color theme="1"/>
        <rFont val="微软雅黑"/>
        <charset val="134"/>
      </rPr>
      <t>（合同+补充协议）</t>
    </r>
  </si>
  <si>
    <t>和解协议前据实测算</t>
  </si>
  <si>
    <t>和解协议内容</t>
  </si>
  <si>
    <t>实际执行</t>
  </si>
  <si>
    <t>无和解协议（走诉讼）</t>
  </si>
  <si>
    <t>项目类别</t>
  </si>
  <si>
    <t>投决测算</t>
  </si>
  <si>
    <t>2023年2月财务报表</t>
  </si>
  <si>
    <t>和解协议前全盘测算及合作方协议承诺</t>
  </si>
  <si>
    <t>2024年2月29日结算</t>
  </si>
  <si>
    <t>项目提供据实全盘测算</t>
  </si>
  <si>
    <t>标准</t>
  </si>
  <si>
    <t>金额</t>
  </si>
  <si>
    <t>说明</t>
  </si>
  <si>
    <t>目标（我司主张）</t>
  </si>
  <si>
    <t>裁决</t>
  </si>
  <si>
    <t>已回款/投入金额</t>
  </si>
  <si>
    <t>待回款金额</t>
  </si>
  <si>
    <t>总建筑面积（㎡）</t>
  </si>
  <si>
    <t>投入产出预测</t>
  </si>
  <si>
    <t>已回款/已支付</t>
  </si>
  <si>
    <t>其中待回款金额</t>
  </si>
  <si>
    <t>合作模式</t>
  </si>
  <si>
    <t>小股操盘并表</t>
  </si>
  <si>
    <t>我司退出，收回本金</t>
  </si>
  <si>
    <t>投决比例</t>
  </si>
  <si>
    <t>投资测算</t>
  </si>
  <si>
    <t>建面单方</t>
  </si>
  <si>
    <t>动态结算</t>
  </si>
  <si>
    <t>单方</t>
  </si>
  <si>
    <t>一</t>
  </si>
  <si>
    <t>投入</t>
  </si>
  <si>
    <t>实际支付</t>
  </si>
  <si>
    <t>投入产出</t>
  </si>
  <si>
    <t>金山湖项目因前期融资未及时到账，我司补增投入0.35亿；海景嘉福项目合作方退出后我司操盘经营补充投入0.67亿元</t>
  </si>
  <si>
    <t>二</t>
  </si>
  <si>
    <t>产出</t>
  </si>
  <si>
    <t>本金缺口0.92亿，保底收益缺口1.6亿</t>
  </si>
  <si>
    <t>销售总产出</t>
  </si>
  <si>
    <t>品牌费</t>
  </si>
  <si>
    <t>销售额3%</t>
  </si>
  <si>
    <t>销售额3%，销售额2万以上按2万元基数</t>
  </si>
  <si>
    <t>销售额2.5%</t>
  </si>
  <si>
    <t xml:space="preserve">
</t>
  </si>
  <si>
    <t>销售收入</t>
  </si>
  <si>
    <t>聚融收取海景嘉福项目品牌费</t>
  </si>
  <si>
    <t>融资余额担保费</t>
  </si>
  <si>
    <t>按融资我司担保额1.5%</t>
  </si>
  <si>
    <t>1、无融资担保
2、收回利息284万元</t>
  </si>
  <si>
    <t>我司主张从我司付款之日起（2021年5月）起至还款之日止按资金占用10%计算利息</t>
  </si>
  <si>
    <t>高层一期</t>
  </si>
  <si>
    <t>永华项目利息收入</t>
  </si>
  <si>
    <t>税筹</t>
  </si>
  <si>
    <t>合作方前期投入12.5%</t>
  </si>
  <si>
    <t>未发生</t>
  </si>
  <si>
    <t>社区商铺</t>
  </si>
  <si>
    <t>分红</t>
  </si>
  <si>
    <t>利润分享25%</t>
  </si>
  <si>
    <t>无</t>
  </si>
  <si>
    <t>利润分享30%</t>
  </si>
  <si>
    <t>利润分享20%</t>
  </si>
  <si>
    <t>地下车位</t>
  </si>
  <si>
    <t>介绍费</t>
  </si>
  <si>
    <t>已付</t>
  </si>
  <si>
    <t>回款税金</t>
  </si>
  <si>
    <t>生产总投入</t>
  </si>
  <si>
    <t>还本</t>
  </si>
  <si>
    <t>已收回</t>
  </si>
  <si>
    <t>截止24年2月未还款</t>
  </si>
  <si>
    <t>销售代理费</t>
  </si>
  <si>
    <t>由聚融提供案场销售代理服务，服务费1%，聚融公司扣除人工成本后，利润20%</t>
  </si>
  <si>
    <t>土地成本+大生产成本</t>
  </si>
  <si>
    <t>永华项目介绍费</t>
  </si>
  <si>
    <t>三</t>
  </si>
  <si>
    <r>
      <rPr>
        <b/>
        <sz val="9"/>
        <color theme="1"/>
        <rFont val="微软雅黑"/>
        <charset val="134"/>
      </rPr>
      <t>回报</t>
    </r>
    <r>
      <rPr>
        <b/>
        <sz val="6"/>
        <color theme="1"/>
        <rFont val="微软雅黑"/>
        <charset val="134"/>
      </rPr>
      <t>（亿元）</t>
    </r>
  </si>
  <si>
    <t>未还款</t>
  </si>
  <si>
    <t>保底收益</t>
  </si>
  <si>
    <t>协议中未明确收费类型，依据测算一口价，我司收回保底收益1.6亿，税后1.4亿（综合税率12.5%）；</t>
  </si>
  <si>
    <t>项目当前主体结构已封顶，未实现销售</t>
  </si>
  <si>
    <t>销售费用</t>
  </si>
  <si>
    <t>累计回报率</t>
  </si>
  <si>
    <t>超额收益</t>
  </si>
  <si>
    <t>住宅均价超过2.3万元/㎡时，每增加1000元，我司收取增加收益2千万</t>
  </si>
  <si>
    <t>管理费用（含品牌管理费）</t>
  </si>
  <si>
    <t>金山湖项目和解协议保底收益</t>
  </si>
  <si>
    <r>
      <rPr>
        <sz val="11"/>
        <color theme="1"/>
        <rFont val="微软雅黑"/>
        <charset val="134"/>
      </rPr>
      <t>结论：已退出该项目，本金已收回。
       当前该项目我司已退出，退出前我司实则轻资产运营，我司未对该项目提供担保。受市场影响，我司及时退出该项目并签订和解协议。已执行协议：1、我司投入本金已全部收回；2、已按协议收回本金占用利息284万元；3、我司退出的股权变更手续已完成；4、和解协议已明确我司担任股东期间，未发生债权债务纠纷，我司退出后历史业务若发生纠纷与我司无关。另，我司</t>
    </r>
    <r>
      <rPr>
        <sz val="11"/>
        <color rgb="FFC00000"/>
        <rFont val="微软雅黑"/>
        <charset val="134"/>
      </rPr>
      <t>进入该项目以增资扩股形式</t>
    </r>
    <r>
      <rPr>
        <sz val="11"/>
        <color theme="1"/>
        <rFont val="微软雅黑"/>
        <charset val="134"/>
      </rPr>
      <t>，历史注册资本已实缴，我司</t>
    </r>
    <r>
      <rPr>
        <sz val="11"/>
        <rFont val="微软雅黑"/>
        <charset val="134"/>
      </rPr>
      <t>不存在/不承担</t>
    </r>
    <r>
      <rPr>
        <sz val="11"/>
        <color rgb="FFC00000"/>
        <rFont val="微软雅黑"/>
        <charset val="134"/>
      </rPr>
      <t>持股期间债务不能清偿的赔偿责任。</t>
    </r>
  </si>
  <si>
    <r>
      <rPr>
        <sz val="11"/>
        <color theme="1"/>
        <rFont val="微软雅黑"/>
        <charset val="134"/>
      </rPr>
      <t>结论：胜诉，待1亿回款。
       我司21年5月依据战略合作协议，同月向惠州景达（乙）支付投入定金1亿元，因杨老太（丙）及景达（乙）未按期（22年5月）取得石桥潘屋项目或南站新城项目开发土地供地手续，我司向乙、丙方、合景公司（乙方控股公司，同时是金山湖项目大股东）共同提起诉讼，法院于2023年7月28日一审裁决我司胜诉：惠州景达向我司一次性返还定金1亿元，合景公司担保，杨老太承担连带责任且同时是缔约人，返还日期为2023年8月4日（截止24年2月尚未回款）。</t>
    </r>
    <r>
      <rPr>
        <sz val="11"/>
        <color rgb="FFFF0000"/>
        <rFont val="微软雅黑"/>
        <charset val="134"/>
      </rPr>
      <t>目前对方已于2023年12月上诉，未确定开庭时间，一审判决未生效。</t>
    </r>
  </si>
  <si>
    <t>该项目已做3.2亿贷款，本金回款0.3亿</t>
  </si>
  <si>
    <t>财务费用（含融资担保费）</t>
  </si>
  <si>
    <t>税费</t>
  </si>
  <si>
    <t>南站定金1亿，金山湖项目8750元，海景嘉福项目1.2亿</t>
  </si>
  <si>
    <t>营业外收支</t>
  </si>
  <si>
    <t>结论：
    （一）目前我司仍持有项目公司20%股权，合同约定在我司收回项目投入本金1.22亿（已收0.3亿元）、1.6亿保底投资收益并且项目销售面积达到85%后，将20%股权转回给合作方。
    （二）金山湖项目销售由我司独家代理，位于惠州市场最好区位地段，目前周边竞品成交价主要集中在1.8万~2万元区间。
    （三）项目公司股东合景公司、杨淑霞、孙瑜平（杨淑霞儿子）、孙艳芳（杨淑霞女儿）均对我方收益承担连带担保责任。</t>
  </si>
  <si>
    <t>投入产出差额1（不含融资）</t>
  </si>
  <si>
    <t>投入产出率1（不含融资）</t>
  </si>
  <si>
    <t>四</t>
  </si>
  <si>
    <t>融资及股东投入净额</t>
  </si>
  <si>
    <t>股东借款净额（+调入-调出）</t>
  </si>
  <si>
    <t>股东投入（含股东借款）</t>
  </si>
  <si>
    <t>融资借款余额</t>
  </si>
  <si>
    <t>其中：借款总额</t>
  </si>
  <si>
    <t>其中：归还借款</t>
  </si>
  <si>
    <t>五</t>
  </si>
  <si>
    <t>投入产出差额2（含融资）</t>
  </si>
  <si>
    <t>投入产出率2（含融资）</t>
  </si>
  <si>
    <t>六</t>
  </si>
  <si>
    <t>货币资金应存余额</t>
  </si>
  <si>
    <t>七</t>
  </si>
  <si>
    <t>占用外部资金（“-”应付）</t>
  </si>
  <si>
    <t>八</t>
  </si>
  <si>
    <t>货币资金余额</t>
  </si>
  <si>
    <t>经营结算</t>
  </si>
  <si>
    <t>认购/交楼
口径</t>
  </si>
  <si>
    <r>
      <rPr>
        <sz val="8"/>
        <color theme="1"/>
        <rFont val="微软雅黑"/>
        <charset val="134"/>
      </rPr>
      <t xml:space="preserve">建面单方
</t>
    </r>
    <r>
      <rPr>
        <sz val="6"/>
        <color theme="1"/>
        <rFont val="微软雅黑"/>
        <charset val="134"/>
      </rPr>
      <t>（认购/交楼口径）</t>
    </r>
  </si>
  <si>
    <t>测算标准</t>
  </si>
  <si>
    <t>认购口径</t>
  </si>
  <si>
    <r>
      <rPr>
        <sz val="8"/>
        <color rgb="FFC00000"/>
        <rFont val="微软雅黑"/>
        <charset val="134"/>
      </rPr>
      <t xml:space="preserve">建面单方
</t>
    </r>
    <r>
      <rPr>
        <sz val="6"/>
        <color rgb="FFC00000"/>
        <rFont val="微软雅黑"/>
        <charset val="134"/>
      </rPr>
      <t>（认购口径）</t>
    </r>
  </si>
  <si>
    <t>交楼口径</t>
  </si>
  <si>
    <r>
      <rPr>
        <sz val="8"/>
        <color rgb="FFC00000"/>
        <rFont val="微软雅黑"/>
        <charset val="134"/>
      </rPr>
      <t xml:space="preserve">建面单方
</t>
    </r>
    <r>
      <rPr>
        <sz val="6"/>
        <color rgb="FFC00000"/>
        <rFont val="微软雅黑"/>
        <charset val="134"/>
      </rPr>
      <t>（交楼口径）</t>
    </r>
  </si>
  <si>
    <r>
      <rPr>
        <sz val="8"/>
        <color theme="1"/>
        <rFont val="微软雅黑"/>
        <charset val="134"/>
      </rPr>
      <t xml:space="preserve">建面单方
</t>
    </r>
    <r>
      <rPr>
        <sz val="6"/>
        <color theme="1"/>
        <rFont val="微软雅黑"/>
        <charset val="134"/>
      </rPr>
      <t>(认购口径）</t>
    </r>
  </si>
  <si>
    <t>土地成本</t>
  </si>
  <si>
    <t>实际土地款</t>
  </si>
  <si>
    <t>大生产成本</t>
  </si>
  <si>
    <t>分包目标成本</t>
  </si>
  <si>
    <t>合作方保底收益（工程款）</t>
  </si>
  <si>
    <t>毛利</t>
  </si>
  <si>
    <t>毛利率</t>
  </si>
  <si>
    <t>开发费用小计</t>
  </si>
  <si>
    <t>管理费用（不含品牌管理费）</t>
  </si>
  <si>
    <t>品牌管理费</t>
  </si>
  <si>
    <t>财务费用-利息支出</t>
  </si>
  <si>
    <t>财务费用-日常支出</t>
  </si>
  <si>
    <t>财务费用-融资担保费</t>
  </si>
  <si>
    <t>增值税及增值税附加</t>
  </si>
  <si>
    <t>土地增值税</t>
  </si>
  <si>
    <t>所得税</t>
  </si>
  <si>
    <t>主营业务-销售合同净利润</t>
  </si>
  <si>
    <t>九</t>
  </si>
  <si>
    <t>项目公司净利润</t>
  </si>
  <si>
    <t>股东可利润分配-扣息后合生权益净利润（20%）</t>
  </si>
  <si>
    <t>股东可利润分配-扣息后合作方权益净利润（80%）</t>
  </si>
  <si>
    <t>资金分布情况</t>
  </si>
  <si>
    <t>银行存款</t>
  </si>
  <si>
    <t>资产</t>
  </si>
  <si>
    <t>固定资产</t>
  </si>
  <si>
    <t>存货</t>
  </si>
  <si>
    <t>长期待摊费用</t>
  </si>
  <si>
    <t>业务应收应付</t>
  </si>
  <si>
    <t>小计（-欠款）</t>
  </si>
  <si>
    <t>预付账款</t>
  </si>
  <si>
    <t>应收代垫业主物业维修基金</t>
  </si>
  <si>
    <t>预收账款（含房款）</t>
  </si>
  <si>
    <t>应付利息</t>
  </si>
  <si>
    <t>应付账款</t>
  </si>
  <si>
    <t>应付行政费用</t>
  </si>
  <si>
    <t>押金/保证金等应收净额</t>
  </si>
  <si>
    <t>其中：收到押金/保证金等</t>
  </si>
  <si>
    <t>其中：支付押金/保证金等</t>
  </si>
  <si>
    <t>股东投入及借款</t>
  </si>
  <si>
    <t>股东投入及借款小计</t>
  </si>
  <si>
    <t>股东借款调入调出净额（+调入-调出）</t>
  </si>
  <si>
    <t xml:space="preserve">           我司调入净额</t>
  </si>
  <si>
    <t xml:space="preserve">           合作方调入净额</t>
  </si>
  <si>
    <t xml:space="preserve">           我司投入</t>
  </si>
  <si>
    <t xml:space="preserve">           合作方投入（账面）</t>
  </si>
  <si>
    <t>融资借款</t>
  </si>
  <si>
    <t>税金</t>
  </si>
  <si>
    <t>应交税金</t>
  </si>
  <si>
    <t>总资产</t>
  </si>
  <si>
    <t>总负债</t>
  </si>
  <si>
    <t>资产负债率%</t>
  </si>
  <si>
    <t>项目投入产出</t>
  </si>
  <si>
    <t>23年2月结算</t>
  </si>
  <si>
    <t>24年2月结算</t>
  </si>
  <si>
    <t>目前测算</t>
  </si>
  <si>
    <t>已回款/已投入金额</t>
  </si>
  <si>
    <t>已回款金额</t>
  </si>
  <si>
    <t>商业模式</t>
  </si>
  <si>
    <t>净资产运营，小股操盘并表</t>
  </si>
  <si>
    <t>合作方退出，我司控股操盘</t>
  </si>
  <si>
    <t>合作方</t>
  </si>
  <si>
    <t>在海景项目销售达到1亿元时支付1000万元，销售达到2千万时支付完毕；</t>
  </si>
  <si>
    <t>聚融公司已收到品牌费</t>
  </si>
  <si>
    <t>利润分红20%</t>
  </si>
  <si>
    <t>项目我司投入1.27亿未回款</t>
  </si>
  <si>
    <r>
      <rPr>
        <b/>
        <sz val="9"/>
        <color theme="1"/>
        <rFont val="微软雅黑"/>
        <charset val="134"/>
      </rPr>
      <t xml:space="preserve">结论：
</t>
    </r>
    <r>
      <rPr>
        <sz val="9"/>
        <color theme="1"/>
        <rFont val="微软雅黑"/>
        <charset val="134"/>
      </rPr>
      <t>目前合作方仍持有项目公司49%股权，按协议约定，合作方在支付完我司金山湖项目所有收益及款项后，才能退出海景项目股权</t>
    </r>
  </si>
  <si>
    <t>基础信息：</t>
  </si>
  <si>
    <t>施工证时间：</t>
  </si>
  <si>
    <t>±0完成时间：</t>
  </si>
  <si>
    <t>2栋：2021/6/8、1栋：2021/7/20</t>
  </si>
  <si>
    <t>取得预售证许可证时间：</t>
  </si>
  <si>
    <t>项目开盘时间：</t>
  </si>
  <si>
    <t>结构封顶完成时间：</t>
  </si>
  <si>
    <t>2栋：2021/12/15 、1栋：2022/1/13</t>
  </si>
  <si>
    <t>竣工备案时间：</t>
  </si>
  <si>
    <t>大确权完成时间：</t>
  </si>
  <si>
    <t>合约交楼时间：</t>
  </si>
  <si>
    <t>用地面积㎡：</t>
  </si>
  <si>
    <t>用地性质：</t>
  </si>
  <si>
    <t>二类居住用地</t>
  </si>
  <si>
    <t>容积率：</t>
  </si>
  <si>
    <t>公建配套面积：</t>
  </si>
  <si>
    <t>车位配比：</t>
  </si>
  <si>
    <t>1：0.674（768：569）</t>
  </si>
  <si>
    <t>1：0.716（768：550）</t>
  </si>
  <si>
    <t>操盘均价：</t>
  </si>
  <si>
    <t>住宅15000元/㎡，商铺30000元/㎡，车位8万元/个</t>
  </si>
  <si>
    <t>住宅8500元/㎡，商铺30000元/㎡，车位12万元/个</t>
  </si>
  <si>
    <t>住宅15000元/㎡</t>
  </si>
  <si>
    <t>按住宅均价8500元测算</t>
  </si>
  <si>
    <t>按住宅均价8500元</t>
  </si>
  <si>
    <t>商铺30000元/㎡</t>
  </si>
  <si>
    <t>按商铺均价3万元测算</t>
  </si>
  <si>
    <t>车位8万元/个</t>
  </si>
  <si>
    <t>按车位12万元/个测算</t>
  </si>
  <si>
    <t>2.1.1</t>
  </si>
  <si>
    <t>2.1.2</t>
  </si>
  <si>
    <t>2.1.2.1</t>
  </si>
  <si>
    <t>按实际建安成本3100元/㎡测算</t>
  </si>
  <si>
    <t>形象进度照片（现场图）</t>
  </si>
  <si>
    <t>2.1.2.2</t>
  </si>
  <si>
    <t>合作方收回</t>
  </si>
  <si>
    <t>按5.8%测算</t>
  </si>
  <si>
    <t>实际需求计算</t>
  </si>
  <si>
    <t>2.3.1</t>
  </si>
  <si>
    <t>2.3.2</t>
  </si>
  <si>
    <t>按融资展期1.5年计算</t>
  </si>
  <si>
    <t>2.4.1</t>
  </si>
  <si>
    <t>2.4.2</t>
  </si>
  <si>
    <t>2.4.3</t>
  </si>
  <si>
    <t>2.5.1</t>
  </si>
  <si>
    <t>2.5.2</t>
  </si>
  <si>
    <t>2.5.3</t>
  </si>
  <si>
    <t>应收供应商</t>
  </si>
  <si>
    <t>应付业主押金</t>
  </si>
  <si>
    <t>应付供应商</t>
  </si>
  <si>
    <t>应付税金</t>
  </si>
  <si>
    <t>据实际税费比例计算</t>
  </si>
  <si>
    <t>股东分配前</t>
  </si>
  <si>
    <t>亏损经营方调入</t>
  </si>
  <si>
    <t>股东综合收益分析（我司实际100%）</t>
  </si>
  <si>
    <t>上市披露业绩按工商股权比例假设测算</t>
  </si>
  <si>
    <t>股东1收益-聚融（博祺企业管理）综合收益</t>
  </si>
  <si>
    <t>股东收益</t>
  </si>
  <si>
    <t>股东收益100%</t>
  </si>
  <si>
    <t>股东收益51%</t>
  </si>
  <si>
    <t>融资担保费</t>
  </si>
  <si>
    <t>收益小计</t>
  </si>
  <si>
    <t>本金投入</t>
  </si>
  <si>
    <t>股本</t>
  </si>
  <si>
    <t>股东借出款</t>
  </si>
  <si>
    <t>回报率</t>
  </si>
  <si>
    <t>应回股东款（收益+本金）</t>
  </si>
  <si>
    <t>实际已回股东款</t>
  </si>
  <si>
    <t>实际已回股东款-本金</t>
  </si>
  <si>
    <t>实际已回股东款-收益</t>
  </si>
  <si>
    <t>待回股东款</t>
  </si>
  <si>
    <t>股东2收益-孙艳芳/杨达红综合收益</t>
  </si>
  <si>
    <t>股东收益0%</t>
  </si>
  <si>
    <t>股东收益49%</t>
  </si>
  <si>
    <t>合作方前期投入</t>
  </si>
  <si>
    <t>利润分红80%（个人所得税代扣前）</t>
  </si>
  <si>
    <r>
      <rPr>
        <sz val="11"/>
        <color theme="1"/>
        <rFont val="微软雅黑"/>
        <charset val="134"/>
      </rPr>
      <t xml:space="preserve">结论：
</t>
    </r>
    <r>
      <rPr>
        <sz val="11"/>
        <color rgb="FFFF0000"/>
        <rFont val="微软雅黑"/>
        <charset val="134"/>
      </rPr>
      <t xml:space="preserve">1.我司操盘该项目，目前珠海横琴隽福项目投资合伙企业（有限合伙）持股51%，孙艳芳持股44.10%，杨达红持股4.90%。
2.该项目我司预测预计亏损0.8亿
风险点：
股权尚未变更完毕，变更前提为我司支付0.2亿金山湖收益款。0.2亿按照海景项目销售目标分期支付：达到1亿支付1000万，累计达到2亿后支付尾款。
</t>
    </r>
  </si>
  <si>
    <t>《深圳聚荣公司永华工业园项目历年投资及结算报告》</t>
  </si>
  <si>
    <t>目标1（惠州惠阳区永华工业园项目投决会 可研报告）</t>
  </si>
  <si>
    <t>惠州市惠阳区镇隆镇甘陂村特育禾必帐地段永华工业园三旧改造项目合作协议书</t>
  </si>
  <si>
    <t>惠州市惠阳区镇隆镇甘陂村特育禾必帐地段永华工业园三旧改造项目合作协议书-补充协议</t>
  </si>
  <si>
    <t>惠东县巽寮管委会巽寮村黄竹洋小组海滨公路下侧咸水埔地段商服、住宅用地合作开发项目合作-补充协议</t>
  </si>
  <si>
    <t>和解协议前测算</t>
  </si>
  <si>
    <t>惠州市惠阳区镇隆镇甘陂村特育禾必帐地段永华工业园三旧改造项目
解除合作协议书</t>
  </si>
  <si>
    <t>惠州市惠阳区镇隆镇甘陂村特育禾必帐地段永华工业园三旧改造项目
解除合作协议书—补充协议</t>
  </si>
  <si>
    <t>和解协议</t>
  </si>
  <si>
    <t>22年2月结算对比</t>
  </si>
  <si>
    <t>主要分析结论</t>
  </si>
  <si>
    <t>报告时间</t>
  </si>
  <si>
    <t>协议签订时间：2020.9.16</t>
  </si>
  <si>
    <t>协议签订时间：-</t>
  </si>
  <si>
    <t>协议签订时间：2022.3.30</t>
  </si>
  <si>
    <t>协议签订时间：2022.6.24</t>
  </si>
  <si>
    <t>22年2月累计结算</t>
  </si>
  <si>
    <t>对比±</t>
  </si>
  <si>
    <t>项目基本信息</t>
  </si>
  <si>
    <t>股东</t>
  </si>
  <si>
    <t>项目公司名称</t>
  </si>
  <si>
    <t>广东永华控股集团有限公司</t>
  </si>
  <si>
    <t>股东1</t>
  </si>
  <si>
    <t>张志华-65%</t>
  </si>
  <si>
    <t>股东2</t>
  </si>
  <si>
    <t>张永明-25%</t>
  </si>
  <si>
    <t>股东3</t>
  </si>
  <si>
    <t>张石明-10%</t>
  </si>
  <si>
    <t>协议方</t>
  </si>
  <si>
    <t>/</t>
  </si>
  <si>
    <t>甲方（我司）：
1-深圳聚荣鼎盛控股发展有限公司</t>
  </si>
  <si>
    <t>甲方（我司）：
1-深圳聚荣鼎盛控股发展有限公司
2-珠海横琴隽福项目投资合伙企业（有限合伙）
3-广州博祺企业管理合伙企业（有限合伙）</t>
  </si>
  <si>
    <t>乙方（合作方）：
1-张志华
2-张永明
3-张石明</t>
  </si>
  <si>
    <t>乙方：孙艳芳</t>
  </si>
  <si>
    <t>乙方：
1-孙艳芳
2-杨达红
3-惠州市合景经济信息咨询有限公司</t>
  </si>
  <si>
    <t>丙方：（丙方、丁方代持乙方26%的股权，实际持有合作协议25%股权）
广州鼎弘投资运营有限公司</t>
  </si>
  <si>
    <t>丁方：
广州博鸣企业管理合伙企业（有限合伙）</t>
  </si>
  <si>
    <t>基础信息</t>
  </si>
  <si>
    <t>国土证时间</t>
  </si>
  <si>
    <t>总规批复时间</t>
  </si>
  <si>
    <t>工规证时间</t>
  </si>
  <si>
    <t>施工证时间</t>
  </si>
  <si>
    <t>工程开工时间</t>
  </si>
  <si>
    <t>±0完成时间</t>
  </si>
  <si>
    <t>取得预售证许可证时间</t>
  </si>
  <si>
    <t>项目开盘时间</t>
  </si>
  <si>
    <t>结构封顶完成时间</t>
  </si>
  <si>
    <t>竣工备案时间</t>
  </si>
  <si>
    <t>大确权完成时间</t>
  </si>
  <si>
    <t>合约交楼时间</t>
  </si>
  <si>
    <t>用地面积㎡</t>
  </si>
  <si>
    <t>116,553㎡（净用地面积100,000㎡）</t>
  </si>
  <si>
    <t>约10万平方米</t>
  </si>
  <si>
    <t>用地性质</t>
  </si>
  <si>
    <t>容积率</t>
  </si>
  <si>
    <t>总建筑面积㎡</t>
  </si>
  <si>
    <t>村回购面积㎡</t>
  </si>
  <si>
    <t>其中：计容面积㎡</t>
  </si>
  <si>
    <t>350,000㎡</t>
  </si>
  <si>
    <t>小于等于350,000㎡</t>
  </si>
  <si>
    <t>其中：不计容面积㎡</t>
  </si>
  <si>
    <t>82410㎡（地下室）</t>
  </si>
  <si>
    <t>公建配套面积</t>
  </si>
  <si>
    <t>6000㎡ （学校）</t>
  </si>
  <si>
    <t>车位配比</t>
  </si>
  <si>
    <t>2406个</t>
  </si>
  <si>
    <t>总层高</t>
  </si>
  <si>
    <t>操盘均价</t>
  </si>
  <si>
    <t>住宅均价1万/㎡，底商均价2万/㎡，车位均价10万/个</t>
  </si>
  <si>
    <t>我司收益方式</t>
  </si>
  <si>
    <t>操盘方式</t>
  </si>
  <si>
    <t>共同开发（我司股权51%，实际收益权25%）</t>
  </si>
  <si>
    <t>投资额（万元）</t>
  </si>
  <si>
    <t>4.1.1  10000万元</t>
  </si>
  <si>
    <t>乙方及项目公司应向甲方退还已投入资金本息合计人民币64,442,500.00元（其中本金6160万元，利息284.25万元，利息按照年化4%计算，计算至2022年3余额31日，共计284.25万元）</t>
  </si>
  <si>
    <t>合生收益</t>
  </si>
  <si>
    <t>3.3 按照25%的实际权益比例出资及享有合作标的权益及承担相应责任、债权债务等。</t>
  </si>
  <si>
    <t>品牌管理费：认购销售额3%</t>
  </si>
  <si>
    <t>5.9
（1）、品牌管理费：甲方按销售价（以实际对外销售并签订的商品房买卖合同的网签成交价计算）的3%向项目公司收取品牌管理费；
（2）、品牌管理费支付节点：项目开工时支付20%品牌管理费，首次预售时支付20%品牌管理费，后每年3、6、9、12月末按销售收入支付剩余60%品牌管理费</t>
  </si>
  <si>
    <t>融资担保费：按融资我司担保额1.5%</t>
  </si>
  <si>
    <t>5.10
（1）、甲方提供担保的，按融资额日均1.5%收取融资担保费
（2）、担保费用支付节点：项目公司于每年3月31日，6月30日、9月30日、12月31日各支付一次。
6.7
项目公司结清所有贷款后，双方同意甲方持有项目的工商登记股权比例变更为25%。</t>
  </si>
  <si>
    <t>退出机制</t>
  </si>
  <si>
    <t>在住宅销售85%时按25%股权模拟清算退出</t>
  </si>
  <si>
    <t>7.3 合作标的的住宅可销售面积的85%以及商业可销售面积的50%销售完毕后或项目首次开售起三年内，对项目整盘模拟结算利润，并按模拟结算利润向项目公司股东分配，甲方有权退出。</t>
  </si>
  <si>
    <t>我司退出</t>
  </si>
  <si>
    <t>合作方收益方式</t>
  </si>
  <si>
    <t>5.1 乙方按75%的实际权益比例分享收益/承担风险及债券债务。 
3.5.2 乙方承诺：
（1）、协议签订之日起6个月内，完成本项目《建设用地规划条件》的批复并生效；
（2）、协议签订之日起12个月内，完成厂房拆迁平整并结案注销原有资料；
（3）、协议签订之日起15个月内，完成本项目供地手续以及办理国土证。
（4）、上述（1）-（3）项，如因不可抗力和政府相关部门原因导致乙方未能按上述时间完成工作的除外。</t>
  </si>
  <si>
    <t>补充协议</t>
  </si>
  <si>
    <t>第一条1.1、双方确认，乙方前期已对合作标的总投入32000万元（含项目公司前期存续贷款利息）。甲方承诺通过项目公司按以下节点向乙方支付前期投入款32000万元（既由乙方承担24000万元，由甲方承担8000万元）
（1）、前述3亿前期贷款到账后，置换项目公司及连带担保公司和个人贷款，合计2.95亿元（以实际贷款余额为准）。支付方式由乙方向项目公司提供委托支付函，由项目公司按附件1清单直接向债权人进行支付，收款人提供收据；
（2）、本项目《建设用地规划条件》的批复并生效时，支付乙方1000万元
（3）、本项目改造方案的经区政府审核并生效时，支付500万元
（4）、本项目土地拆迁平整时并结案注销原有资料时，支付500万元
（5）、本项目完成供地手续以及办理国土证时，支付剩余尾款。
（6）、支付2-5款项时应扣除合作协议2.2.4款约定项目公司应收未收乙方及关联公司/个人之款项。
1.2、就上述前期投入款支付事宜，乙方应按照本协议约定积极提供协助
1.3、双方同意上述乙方不含贷款利息的前期投入（32000万元-项目公司前期存续贷款利息）及税费，由乙方负责协调通过工程总承包合同处理，开具发票的税费由项目公司承担。税费标准应经甲方认可。
1.4、乙方承诺协调工程总包单位向项目公司提供3.6.2约定款项以及本协议1.3约定款项的等额的税局认可的增值税专用发票，并确保能在土地增值税及企业所得税前抵扣。</t>
  </si>
  <si>
    <t>鉴于：乙向丙方转让了21.85%股权，向丁方转让了29.15%股权，并于2021年2月8日办理完毕工商变更登记。
2021年3月10日，丙方、丁方与惠州农商行签订《最高额保证合同》，对项目公司及乙方关联企业惠州名家家居商业管理有限公司、惠州市永鸿装饰工程有限公司、广东富铭达置业有限公司和自然人黎文清、罗梅文等在惠州农商行的债务提供担保。
（1）双方一致确认，自本协议签订之日起，《合作协议》及全部相关补充协议均予以解除，各方终止工业园项目的合作关系，除本协议另有约定外，甲乙双方在《合作协议》项下的权利义务终止，互不承担违约责任。
（2）自本协议签订之日起，乙方及项目公司即应向银行申请解除对丙方、丁方名下持有的项目公司股权的质押登记，并申请解除丙方、丁方的保证责任。
（3）乙方及项目公司应向甲方退还已投入资金本息合计人民币64,442,500.00元（其中本金6160万元，利息284.25万元，利息按照年化4%计算，计算至2022年3余额31日，共计284.25万元）</t>
  </si>
  <si>
    <t>第二条 各方一致确认，截至2022年6月24日，乙方及项目公司已向甲方退还投资款6160万元，并已支付违约金284.25万元，乙方及项目公司完成《解除合作协议书》的全部付款义务，无需支付其他任何款项。
第三条  各方一致确认，办理项目公司工商变更登记及丙方、丁方持有的股权质押和担保的解除流程如下：
3.1乙方及项目公司已支付完毕上述款项，乙方及项目公司即应向惠州农商行申请解除对丙方、丁方名下持有的项目公司股权的质押登记；
3.2在解除上述股权质押登记后，协议各方共同向惠州市惠城区市场监督局提交材料，将丙方、丁方持有的项目公司全部股权变更登记至乙方或乙方指定第三方名下，涉及相关税费由乙方承担，协议各方均应保证予以配合，在确定变更方式之日起3个工作日内提供全部所需资料；
3.3自丙方、丁方持有的项目公司全部股权变更登记至乙方或乙方指定第三方名下之日起，乙方及项目公司即应向惠州农商行申请解除丙方、丁方的保证责任；甲方、丙方、丁方保证对上述事项积极配合，乙方确保在丙方、丁方转让股权后20天内完成上述保证责任的解除工作。
3.4各方确认，乙方及项目公司已支付完毕上述款项后，甲方、丙方及丁方需配合乙方及项目公司完成正常公司运营所需盖章事项（包括永华工业园办理水电表过户手续、与承租方签订相关协议、签订无需丙方及丁方担保的融资事项等）</t>
  </si>
  <si>
    <t>违约金</t>
  </si>
  <si>
    <t>9.1、任何一方不履行本协议则构成违约，违约方应向守约方承担赔偿责任。
9.2、任何一方存在部分违约的，守约方根据违约程度可选择是否继续履行本协议，守约方选择继续履行的，违约方须根据9.4款约定赔偿守约方损失，本协议继续履行，在后续过程中任何一方违约，守约方仍然可提出解除本协议及要求违约方按本协议内容承担相应违约责任。
9.3、若因甲方对外公示的股权比例为51%，而被追究比例范围的责任，乙方应当对超过25%部分向甲方进行赔偿及消除因此带给甲方的影响。因甲方原因造成的相关责任及全部损失（包括乙方的损失）由甲方承担。
9.4、违约方所应赔偿的守约方全部损失包括但不限于违约行为造成守约方的直接损失、间接损失、守约方在本协议履行后可以获得的利益、守约方为实现权力或追求违约责任而产生的律师费、诉讼费等费用。
9.5、甲方承诺保证在工商登记股权变更生效之日起3个月内完成6.3款约定前期3亿元贷款工作，超过3个月未完成该工作的，因此产生6.3款约定原项目公司及连带担保公司和乙方个人借款（清单详见附件13.4）的利息由甲方承担。
9.6、甲方承诺保证在项目完成取得《规划设计条件告知书》之日后，至政府出具土地出让金缴费通知书前完成地价款和税费的贷款工作，若甲因甲方贷款不到位造成乙方的损失及责任均由甲方承担。
9.7、甲方承诺保证在项目取得四证之日起3个月内完成项目开发贷款首期放款工作，并按项目进度及资金需求完成其放款工作，若因甲方贷款不到位造成乙方的损失及责任均有甲方承担。
9.8、因甲方融资原因或因甲方相关企业连带责任原因导致双方合作的项目无法推进超过6个月的，乙方有权解除合作关系，甲方已投入项目投资款归乙方所有，并向乙方赔偿项目现场损失（厂房租金按每月208万元计算，计算时间从停租之日起计算；已拆除的厂房及配套设施按实际建筑面积13万平方米计算，每平方米工程总造价按1949元计算），同时须无条件向乙方或乙方指定的第三方转让项目公司股权并退出项目。
————以上9.5-9.8款约定因不可抗力、银行信贷政策原因及政府相关部门原因导致甲方未能按上述时间完成工作的除外。
9.9、乙方承诺按双方约定期限完成项目地块内租约的解除、厂房的搬迁、厂房的拆除、地块的平整、旧改手续的报批。如自工商股权变更之日起24个月内，乙方未完成本项目供地手续以及办理国土证的，甲方有权解除合作关系，乙方应释放甲方或其指定单位提供的前述前期贷款3亿的担保、抵押等信用资源、并向甲方双倍返还已实际投入的增资款及其他投资款项，甲方向乙方转让项目公司股权并退出项目。因不可抗力和政府相关部门原因导致乙方未能按前述时间完成工作的除外。
9.10本协议有效期内，乙方或与乙方具有关联关系的组织不按协议履约或做出不利于本项目推进的行为，造成合作项目无法推进的，乙方应向甲方支付人民币2.5亿元违约金。因甲方原因或政府相关部门、相关政策造成的除外。</t>
  </si>
  <si>
    <t>公司治理</t>
  </si>
  <si>
    <t>高管人员：</t>
  </si>
  <si>
    <t>第五条   高管人员：
1、董事会：5人（甲方2，乙方3），董事长甲方委任；
2、监事：2人（甲方1人，乙方1人）；
3、经营管理层：甲方委派人员为主（总经理，大生产、营销、融资、财务），乙方为辅（副总经理、开发报建，出纳、税务关系）
4、在授权范围内按甲方管理制度运作；</t>
  </si>
  <si>
    <t>证照及印章管理：</t>
  </si>
  <si>
    <t>证照及印章管理：协议中未约定</t>
  </si>
  <si>
    <t>业财一体化情况：</t>
  </si>
  <si>
    <t>业财一体化情况：未约定</t>
  </si>
  <si>
    <t>介绍费用</t>
  </si>
  <si>
    <t>甲方同意以永华工业园项目向乙方支付永华工业园项目介绍费2,500万元，乙方及乙方指定相关人士承诺积极为本交易（包括但不限于资料、流程等）提供配合。具体支付节点如下：
1、永华工业园项目公司股权完成工商变更后7个工作日内支付1000万；
2、永华工业园项目公司股权完成工商变更后3个月内支付剩余1500万元。</t>
  </si>
  <si>
    <r>
      <rPr>
        <sz val="9"/>
        <rFont val="微软雅黑"/>
        <charset val="134"/>
      </rPr>
      <t>8.2</t>
    </r>
    <r>
      <rPr>
        <sz val="9"/>
        <color rgb="FFFF0000"/>
        <rFont val="微软雅黑"/>
        <charset val="134"/>
      </rPr>
      <t>本协议签订后，乙方不得再就永华工业园项目向甲方、项目公司等主张任何介绍费用及其他款项。甲方也不得要求乙方偿还于2021年2月26日及2021年3月12日有甲方1向乙方3合计支付的1000万元款项，并且在合法合规的前提下，各方应配合完成该笔款项的平账手续。</t>
    </r>
  </si>
  <si>
    <t>项目盈利分析（不含税筹）</t>
  </si>
  <si>
    <t>占总销售额比例</t>
  </si>
  <si>
    <t>对比分析</t>
  </si>
  <si>
    <t>销售收入小计</t>
  </si>
  <si>
    <t>可售面积由309,560㎡降低至208,000㎡，售价由10000元降低至7500元；</t>
  </si>
  <si>
    <t>可售面积由35,000㎡增加至52,000㎡，售价由20000元降低至16000元；</t>
  </si>
  <si>
    <t>车位由2406个增加至2600个，售价均10万元不变</t>
  </si>
  <si>
    <t>回购物业</t>
  </si>
  <si>
    <t>可售面积减少，对应土地价格减少</t>
  </si>
  <si>
    <t>合作方前期投入（无票，后续以建安工程发票入账）</t>
  </si>
  <si>
    <t>大生产成本小计</t>
  </si>
  <si>
    <t>3.6.1、乙方负责合法选定合作标的的工程总包单位及签订总包合同，因乙方或乙方选定工程工程总承包单位原因致使项目进度延误，给甲方带来损失的，双方同意从乙方应分配的合作标的收益给予甲方赔偿。
3.6.2、乙方承诺建安成本在楼高不超过100米，按实际建筑面积3500元/㎡结算</t>
  </si>
  <si>
    <t>可售面积减少，对应建安成本减少</t>
  </si>
  <si>
    <t>建筑面积为391740，单方3500元</t>
  </si>
  <si>
    <t>税筹成本</t>
  </si>
  <si>
    <t>3.6.4 在合作标的的二级开发阶段，项目销售费用由甲方按全盘含税收入的6.3%包干</t>
  </si>
  <si>
    <t>销售费率6.3%不变，货值减少，销售费用减少</t>
  </si>
  <si>
    <t>3.6.5 在合作标的的二级开发阶段，管理费整体不超过含税收入3.2%内据实结算；
5.9品牌管理费：甲方按销售价（以实际对外销售并签订的商品房买卖合同的网签成交价计算）的3%向项目公司收取品牌管理费；</t>
  </si>
  <si>
    <t>管理费率6.2%不变，货值减少，管理费用减少</t>
  </si>
  <si>
    <t>管理费率3.2%不变，货值减少，管理费用减少</t>
  </si>
  <si>
    <t>品牌费3%不变，货值减少，品牌费减少</t>
  </si>
  <si>
    <t>甲方提供担保的，按融资额日均1.5%收取融资担保费</t>
  </si>
  <si>
    <t>三大税金小计</t>
  </si>
  <si>
    <t>含税货值403620  不含税货值370294</t>
  </si>
  <si>
    <t>项目公司留存利润</t>
  </si>
  <si>
    <t>股东可利润分配-扣息后合生权益净利润（25%）</t>
  </si>
  <si>
    <t>股东可利润分配-扣息后合作方权益净利润</t>
  </si>
  <si>
    <t>应收账款</t>
  </si>
  <si>
    <t>其他应付村委</t>
  </si>
  <si>
    <t>筹资</t>
  </si>
  <si>
    <t>借款调入调出净额</t>
  </si>
  <si>
    <t>其中：调入</t>
  </si>
  <si>
    <t xml:space="preserve">           我司调入</t>
  </si>
  <si>
    <t xml:space="preserve">           合作方调入</t>
  </si>
  <si>
    <t>其中：调出</t>
  </si>
  <si>
    <t xml:space="preserve">            归还我司</t>
  </si>
  <si>
    <t xml:space="preserve">            归还合作方</t>
  </si>
  <si>
    <t>其中：股东投入</t>
  </si>
  <si>
    <t>其中：归还股东</t>
  </si>
  <si>
    <t>股东综合收益分析（不含税筹）</t>
  </si>
  <si>
    <t>股东1收益-聚荣综合收益</t>
  </si>
  <si>
    <t>税筹筹划收益20%</t>
  </si>
  <si>
    <t>已支付</t>
  </si>
  <si>
    <t>利息收入</t>
  </si>
  <si>
    <t>亏损</t>
  </si>
  <si>
    <t>年化回报率</t>
  </si>
  <si>
    <t>投资款已回款</t>
  </si>
  <si>
    <t>剩余投资款</t>
  </si>
  <si>
    <t>股东2收益-永华公司综合收益</t>
  </si>
  <si>
    <t>利润分红80%</t>
  </si>
  <si>
    <t>项目盈利分析（含税筹）</t>
  </si>
  <si>
    <t>按住宅均价2.3万元测算</t>
  </si>
  <si>
    <t>按商铺均价4.5万元测算</t>
  </si>
  <si>
    <t>按车位20万元/个测算</t>
  </si>
  <si>
    <t>拆迁赔偿物业不算可售货值</t>
  </si>
  <si>
    <t>按实际支付金额计算</t>
  </si>
  <si>
    <t>3.5亿元及12.5%税票成本</t>
  </si>
  <si>
    <t>按实际建安成本3780元/㎡测算</t>
  </si>
  <si>
    <t>其中销售大生产成本</t>
  </si>
  <si>
    <t>其中回迁大生产成本</t>
  </si>
  <si>
    <t>本表成本差异</t>
  </si>
  <si>
    <t>按1.5%测算</t>
  </si>
  <si>
    <t>按1.25%测算</t>
  </si>
  <si>
    <t>按5.5亿元贷款，年化7%，一年半还清测算</t>
  </si>
  <si>
    <t>按税筹后金额计算</t>
  </si>
  <si>
    <t>股东可利润分配-扣息后合作方权益净利润（20%）</t>
  </si>
  <si>
    <t>股东综合收益分析（含税筹）</t>
  </si>
  <si>
    <t>股东1收益-聚荣（博祺企业管理）综合收益</t>
  </si>
  <si>
    <t>按原协议约定计算（住宅销售收入单价2万*面积*3%）</t>
  </si>
  <si>
    <t>按实际担保情况计算（实际未融资）</t>
  </si>
  <si>
    <t>该7千万为合作费收益</t>
  </si>
  <si>
    <t>按原协议约定计算</t>
  </si>
  <si>
    <t>按原协议约定计算（按20%收益）</t>
  </si>
  <si>
    <t>扣除7千万后，我方收益小计为15,773万元</t>
  </si>
  <si>
    <t>销售代理费收入</t>
  </si>
  <si>
    <t>根据代理销售协议，有聚荣提供人工销售，按销售额跳点峰值1%</t>
  </si>
  <si>
    <t>销售代理费人工成本</t>
  </si>
  <si>
    <t>销售代理利润</t>
  </si>
  <si>
    <t>收益二小计</t>
  </si>
  <si>
    <t>股东2收益-永华经纪公司综合收益</t>
  </si>
  <si>
    <t>税筹筹划收益80%</t>
  </si>
  <si>
    <t>投资明细</t>
  </si>
  <si>
    <t>日期</t>
  </si>
  <si>
    <t>款项</t>
  </si>
  <si>
    <t>调入调出单位</t>
  </si>
  <si>
    <t>收回</t>
  </si>
  <si>
    <t>利息</t>
  </si>
  <si>
    <t>合计：</t>
  </si>
  <si>
    <t>《深圳聚荣公司惠阳南站项目历年投资及结算报告》</t>
  </si>
  <si>
    <t>目标1（惠州惠阳区南站项目投决会 可研报告）</t>
  </si>
  <si>
    <t>战略合作协议</t>
  </si>
  <si>
    <t>协议签订时间：2021-5-7</t>
  </si>
  <si>
    <t>一审诉讼情况</t>
  </si>
  <si>
    <t>惠阳景恒项目</t>
  </si>
  <si>
    <t>南站新城项目</t>
  </si>
  <si>
    <t>-</t>
  </si>
  <si>
    <t>惠州市景达房地产开发有限公司</t>
  </si>
  <si>
    <t>乙方（合作方）：惠州市景达房地产开发有限公司
丙方（担保人）：杨淑霞</t>
  </si>
  <si>
    <t>住宅、商业</t>
  </si>
  <si>
    <t>商住</t>
  </si>
  <si>
    <t>小股操盘30%：70%</t>
  </si>
  <si>
    <t>共同开发（我司股权30%，乙方70%）</t>
  </si>
  <si>
    <t>2个项目，一个定金5千万元，共1亿元，后续投入乙丙方承诺项目公司获取石桥潘屋或南站新城项目开发权益的，土地成本溢价不超过实际获取土地成本的30%</t>
  </si>
  <si>
    <t>我司于2021年5月20日支付定金1亿元</t>
  </si>
  <si>
    <t>协议内容</t>
  </si>
  <si>
    <t>1、项目公司最终无法取得石桥潘屋项目或南站新城项目开发权益的，丙方同意甲方从其在合作项目（金山湖项目）应得投资收益中扣除前述相应定金。
2、乙丙方承诺项目公司在2022年5月6日前按前述指标＆要求取得2个项目全部土地供地手续以及办理国土证，乙丙方无法按照上述项目开发承诺完工工作的，自截止日起，按上述定金的10%/年，每季度末向甲方支付资金占用费。
3、甲乙方通过项目公司支付丙方共计6000万元，作为丙方在本协议内对两项目的担保费用</t>
  </si>
  <si>
    <r>
      <rPr>
        <sz val="9"/>
        <color theme="1"/>
        <rFont val="微软雅黑"/>
        <charset val="134"/>
      </rPr>
      <t xml:space="preserve">一、实际并未支付担保费用6000万元
二、2023年10月7日我司收到法院一审判决，判决内容如下：
1、解除原告深圳聚荣鼎盛控股发展有限公司与被告惠州市景达房地产开发有限公司、被告杨淑霞于2021 年5 月7 日签订的《战略合作协议》。
</t>
    </r>
    <r>
      <rPr>
        <sz val="9"/>
        <color rgb="FFFF0000"/>
        <rFont val="微软雅黑"/>
        <charset val="134"/>
      </rPr>
      <t>2、被告惠州市景达房地产开发有限公司、被告杨淑霞应在本判决发生法律效力之日起七日内，一次性向原告深圳聚荣鼎盛控股发展有限公司返还定金1 亿元。</t>
    </r>
    <r>
      <rPr>
        <sz val="9"/>
        <color theme="1"/>
        <rFont val="微软雅黑"/>
        <charset val="134"/>
      </rPr>
      <t xml:space="preserve">
</t>
    </r>
    <r>
      <rPr>
        <sz val="9"/>
        <color rgb="FFFF0000"/>
        <rFont val="微软雅黑"/>
        <charset val="134"/>
      </rPr>
      <t>3、被告惠州市合景经济信息咨询有限公司对被告惠州市景达房地产开发有限公司的上述债务承担连带清偿责任。</t>
    </r>
    <r>
      <rPr>
        <sz val="9"/>
        <color theme="1"/>
        <rFont val="微软雅黑"/>
        <charset val="134"/>
      </rPr>
      <t xml:space="preserve">
4、驳回原告深圳聚荣鼎盛控股发展有限公司的其他诉讼请求。
5、如果未按本判决指定的期间履行给付金钱义务，应当依照《中华人民共和国民事诉讼法》第二百六十条之规定，加倍支付迟延履行期间的债务利息。
6、案件受理费541800 元（原告已预交），由被告惠州市景达房地产开发有限公司、杨淑霞、惠州市合景经济信息咨询有限公司共同负担。被告惠州市景达房地产开发有限公司、杨淑霞、惠州市合景经济信息咨询有限公司应当根据判决书附随的缴费通知书径直缴纳诉讼费，本院不再向应缴纳诉讼费用的当事人单独另行催收诉讼费用，逾期未缴纳诉讼费用，本院将依法强制执行。</t>
    </r>
  </si>
  <si>
    <t>股东可利润分配-扣息后合生权益净利润（30%）</t>
  </si>
  <si>
    <t>利润分红30%</t>
  </si>
  <si>
    <t>股东2收益-南站公司综合收益</t>
  </si>
  <si>
    <t>利润分红70%</t>
  </si>
  <si>
    <t>《深圳聚荣公司金山湖项目（别名-天傲花园）历年投资及结算报告》</t>
  </si>
  <si>
    <t>目标1（金山湖项目可研报告）</t>
  </si>
  <si>
    <t>协议1-《惠州市惠城区桥东街道文头岭村民委员会村企合作开发项目（金山湖JSH-A05-10-2-1地块）</t>
  </si>
  <si>
    <t>协议2（目标2）——金山湖合作项目补充协议1</t>
  </si>
  <si>
    <t>协议3-金山湖合作项目补充协议2</t>
  </si>
  <si>
    <t>协议4-金山湖合作项目补充协议3</t>
  </si>
  <si>
    <t>协议5-金山湖合作项目补充协议4</t>
  </si>
  <si>
    <t>23年12月31日结算对比</t>
  </si>
  <si>
    <t>协议签订时间：2021.1.21</t>
  </si>
  <si>
    <t>协议前测算</t>
  </si>
  <si>
    <t>协议签订时间：2023.2.24</t>
  </si>
  <si>
    <t>23年12月31日累计结算</t>
  </si>
  <si>
    <t>惠州市俊发置业投资有限公司</t>
  </si>
  <si>
    <t>股东1（我司）</t>
  </si>
  <si>
    <t>广州博祺企业管理合伙企业（有限合伙）-51%</t>
  </si>
  <si>
    <t>股东2（合作方）</t>
  </si>
  <si>
    <t>惠州市合景经济信息咨询有限公司-49%</t>
  </si>
  <si>
    <t>甲方（我司）：深圳聚荣鼎盛控股发展有限公司-51%</t>
  </si>
  <si>
    <t>乙方（合作方）：惠州市合景经济信息咨询有限公司-49%</t>
  </si>
  <si>
    <t>乙方（合作方）：
1-孙艳芳
2-杨达红
3-惠州市合景经济信息咨询有限公司-49%</t>
  </si>
  <si>
    <t>项目公司：惠州市俊发置业投资有限公司</t>
  </si>
  <si>
    <t>项目公司：
1-惠州市海景嘉福房地产开发有限公司
2-惠州市俊发置业投资有限公司</t>
  </si>
  <si>
    <t>丙方（合作方实际控制人及其家属，被本协议担保人）：
1-杨淑霞
2-孙瑜平</t>
  </si>
  <si>
    <t>？</t>
  </si>
  <si>
    <t>35260㎡</t>
  </si>
  <si>
    <t>商住用地</t>
  </si>
  <si>
    <t>≤3.5</t>
  </si>
  <si>
    <t>幼儿园等</t>
  </si>
  <si>
    <t>1:1.9(635:1234)</t>
  </si>
  <si>
    <t>住宅23000元/㎡，商铺50000元/㎡，车位4937.53元/㎡</t>
  </si>
  <si>
    <t>目前已取得备案价为1、9号楼，其中1号楼住宅均价29201元/㎡，9号楼住宅26672元/㎡，1号楼9号楼住宅平均均价28005元/㎡</t>
  </si>
  <si>
    <t>小股操盘（我司股权51%，实际收益权20%）</t>
  </si>
  <si>
    <t>我司工商股权51%，实际收益权20%</t>
  </si>
  <si>
    <t>由合作方主导操盘，我司负责独家销售代理</t>
  </si>
  <si>
    <t>在工商登记完成后7个工作内向项目公司支付投资款，如逾期支付，需支付相应违约金</t>
  </si>
  <si>
    <t>收益分享20%</t>
  </si>
  <si>
    <t>我收取保底收益1.6亿元+增加收益（住宅均价超过2.3万元/㎡时，每增加1000元，我司收取增加收益2千万）+独家销售代理费</t>
  </si>
  <si>
    <r>
      <rPr>
        <sz val="9"/>
        <color theme="1"/>
        <rFont val="微软雅黑"/>
        <charset val="134"/>
      </rPr>
      <t xml:space="preserve">1、品牌管理费：销售价格≤20000元，甲方按销售价3%计提管理费；
销售价格＞20000元，甲方按20000元/㎡的销售量3%计提管理费；
</t>
    </r>
    <r>
      <rPr>
        <sz val="9"/>
        <color rgb="FFFF0000"/>
        <rFont val="微软雅黑"/>
        <charset val="134"/>
      </rPr>
      <t>2、品牌管理费支付节点：项目开工时支付20%品牌管理费，首次预售时支付20%品牌管理费，后每年3、6、9、12月末按销售收入支付剩余60%品牌管理费</t>
    </r>
  </si>
  <si>
    <t>实际开发贷由合作方担保，我方无需担保，不收取担保费</t>
  </si>
  <si>
    <t>在住宅销售85%时按20%股权模拟清算退出</t>
  </si>
  <si>
    <r>
      <rPr>
        <sz val="9"/>
        <color theme="1"/>
        <rFont val="微软雅黑"/>
        <charset val="134"/>
      </rPr>
      <t>结清贷款后，双方同意甲方工商股权变更为20%，在住宅销售85%时或者</t>
    </r>
    <r>
      <rPr>
        <sz val="9"/>
        <color rgb="FFFF0000"/>
        <rFont val="微软雅黑"/>
        <charset val="134"/>
      </rPr>
      <t>项目首次开售起三年内</t>
    </r>
    <r>
      <rPr>
        <sz val="9"/>
        <color theme="1"/>
        <rFont val="微软雅黑"/>
        <charset val="134"/>
      </rPr>
      <t>按20%股权整盘模拟结算利润，甲方有权退出</t>
    </r>
  </si>
  <si>
    <t>在住宅销售85%时按20%股权整盘模拟结算利润，甲方有权退出</t>
  </si>
  <si>
    <t>我司收取完毕所有收益后退出</t>
  </si>
  <si>
    <r>
      <rPr>
        <sz val="9"/>
        <color theme="1"/>
        <rFont val="微软雅黑"/>
        <charset val="134"/>
      </rPr>
      <t>1、乙方促成商改住或别墅，以合理价格回购村住宅，且不低于应分配村回购住宅的60%，</t>
    </r>
    <r>
      <rPr>
        <sz val="9"/>
        <color rgb="FFFF0000"/>
        <rFont val="微软雅黑"/>
        <charset val="134"/>
      </rPr>
      <t>乙方可取得税后500万收益；</t>
    </r>
    <r>
      <rPr>
        <sz val="9"/>
        <color theme="1"/>
        <rFont val="微软雅黑"/>
        <charset val="134"/>
      </rPr>
      <t xml:space="preserve">
2、乙方支付的土地出让金22,213.8万元，乙方按12%向项目公司收取资金成本。</t>
    </r>
  </si>
  <si>
    <r>
      <rPr>
        <sz val="9"/>
        <color theme="1"/>
        <rFont val="微软雅黑"/>
        <charset val="134"/>
      </rPr>
      <t>1、乙方支付的土地出让金22,213.8万元，同意由项目公司</t>
    </r>
    <r>
      <rPr>
        <sz val="9"/>
        <color rgb="FFFF0000"/>
        <rFont val="微软雅黑"/>
        <charset val="134"/>
      </rPr>
      <t>取得施工证后3个月内或资金盈余时优先偿还乙方</t>
    </r>
    <r>
      <rPr>
        <sz val="9"/>
        <color theme="1"/>
        <rFont val="微软雅黑"/>
        <charset val="134"/>
      </rPr>
      <t>；
2、已方按12%向项目公司收取土地出让金22,213.8万元，应向项目公司提供税局认可的等额有效增值税发票；</t>
    </r>
  </si>
  <si>
    <t>乙方500万收益调整
1、完成金山湖商改住调整或商业别墅时，甲方通过金山湖项目向乙方或乙方指定账户支付往来款300万元，
2、项目公司按合理价格回购村住宅，且不低于应分配村回购住宅的60%，甲方通过金山湖项目向乙方支付往来款200万元
3、后续在甲方应分配的项目利润中扣除</t>
  </si>
  <si>
    <t>村委会收益</t>
  </si>
  <si>
    <t>1、村委会负责提供上述地块作为合作出资
2、村委会在本项目的总收益9500万元，其中现金收益4000万元，以合作项目的首层临街商铺（或住宅）折价抵付5500万元，
3、项目公司向政府有关部门争取返还的土地挂牌拍卖所得款及溢价款等，全部归项目公司所有。</t>
  </si>
  <si>
    <r>
      <rPr>
        <sz val="9"/>
        <color theme="1"/>
        <rFont val="微软雅黑"/>
        <charset val="134"/>
      </rPr>
      <t xml:space="preserve">1、若因甲方对外公示的股权比例为51%，而被追究比例范围的责任，乙方应当对超过20%部分向甲方进行赔偿，并消除影响；
</t>
    </r>
    <r>
      <rPr>
        <sz val="9"/>
        <color rgb="FFFF0000"/>
        <rFont val="微软雅黑"/>
        <charset val="134"/>
      </rPr>
      <t>2、违约方应向守约方支付违约金2亿元</t>
    </r>
  </si>
  <si>
    <t>违约方应向守约方支付违约金0.5亿元</t>
  </si>
  <si>
    <t>7.1任何一方未按本协议约定支付款项的，每逾期一日，违约方应当按逾期欠付金额的万分之四向相对方支付违约金。
7.2任何一方未按本协议约定履行股权变更、撤回上诉、起诉、解除保全、办理贷款手续、项目公司1印章证照资料、总包单位资金专户移交等义务的，相对方均有权要求纠正，违约方在收到书面通知后拒不纠正违约行为的，每逾期一日，应当向相对方支付违约金【贰拾万】元直至纠正违约行为。
7.3在甲方收回第1.2.2条款约定的【122,064,476.29】元资金、第1.1.2条款资金中的1.6亿元前，乙方、项目公司2不得与甲方变更或解除代理关系，如代理关系被变更或解除的，乙方、项目公司2应向甲方支付违约金【1000万】元，除非附件四销售代理协议或本协议另有约定。
7.4若由于甲方取得项目公司1的51%股权前存在乙方未披露的债务、纠纷、诉讼、行政处罚等事宜，而导致项目公司1或甲方向债权人承担责任的，乙方应全额赔偿给项目公司1或甲方造成的损失。
7.5本协议项下违约方应向守约方支付或赔偿的任何款项，若违约方拒不支付或赔偿的，守约方均可从应付未付违约方的款项中直接抵扣。
7.6若甲方持有项目公司2的股权被查封、冻结或违反本协议约定被甲方擅自处置（因乙方或项目公司2自身原因导致的除外），导致乙方、项目公司2的利益受损或被第三方主张权利的，甲方应全额赔偿乙方、项目公司2的经济损失。
7.7若乙方持有项目公司1的49%的股权被查封、冻结或违反本协议约定被乙方擅自处置（因甲方或项目公司1自身原因导致的除外），导致甲方、项目公司1的利益受损或被第三方主张权利的，乙方应全额赔偿甲方、项目公司1的经济损失。</t>
  </si>
  <si>
    <t>高管人员：
1、董事会：5人（甲方2，乙方3），董事长甲方委任；
2、监事：2人（甲方1人，乙方1人）；
3、经营管理层：甲方委派人员为主（总经理，大生产、营销、融资、财务），乙方为辅（副总经理、开发报建，税务关系）
4、在授权范围内按甲方管理制度运作；</t>
  </si>
  <si>
    <t>合作方主导操盘管理</t>
  </si>
  <si>
    <t>海景项目内容</t>
  </si>
  <si>
    <t>1、我司负责海景项目开发管理；
2、原协议约定3亿元保底，已支付【279,031,534.32】元，剩余【20,968,465.68】元在海景项目销售达到1亿元时支付1000万元，销售达到2千万时支付完毕；
3、毛坯建安成本还是按原协议约定的3050继续执行。</t>
  </si>
  <si>
    <t>金山湖项目内容</t>
  </si>
  <si>
    <r>
      <rPr>
        <sz val="9"/>
        <color theme="1"/>
        <rFont val="微软雅黑"/>
        <charset val="134"/>
      </rPr>
      <t>1、合作方负责金山湖项目开发管理；
2、我司将代持31%股权转回至合作方；
3、</t>
    </r>
    <r>
      <rPr>
        <sz val="9"/>
        <color rgb="FFFF0000"/>
        <rFont val="微软雅黑"/>
        <charset val="134"/>
      </rPr>
      <t>项目公司根据开发贷放款节奏退回我司投资本金1.22亿元（放款3.5亿，退5千万，放款至4亿元退回至8千万，放款至4.5亿元退回至1亿元，放款至5亿元退回完毕），如融资放款不足，则金山湖项目实现销售收入后先给项目公司预留6个月的运营资金，之后用于退回我司；
4、我方收取保底收益1.6亿元（根据销售回款，每回款1亿元，退我司2千万，扣除税票成本12.5%，我司实收1.4亿元，从旭峰退回至海景）；</t>
    </r>
    <r>
      <rPr>
        <sz val="9"/>
        <color theme="1"/>
        <rFont val="微软雅黑"/>
        <charset val="134"/>
      </rPr>
      <t xml:space="preserve">
5、如金山湖项目住宅与购买方实际签约销售均价高于2.3万元/平方米，每增加1000元/平米，则我方收取增加收益2千万元；
6、我司独家代理金山湖项目销售工作；</t>
    </r>
  </si>
  <si>
    <t>股权退出</t>
  </si>
  <si>
    <t>当金山湖项目住宅销售面积达到85%及乙方支付我司金山湖项目本金及收益后，合作方才可退出海景项目公司股权，我司金山湖项目股权转让至合作方</t>
  </si>
  <si>
    <t>担保责任</t>
  </si>
  <si>
    <t>丙方杨淑霞、孙瑜平无条件为协议承担连带担保</t>
  </si>
  <si>
    <t>其中：原股东</t>
  </si>
  <si>
    <t>其中：我司</t>
  </si>
  <si>
    <t>利润表</t>
  </si>
  <si>
    <t>计入存货</t>
  </si>
  <si>
    <t>1、乙方负责合法选定合作标的的工程总包单位及签订总包合同，因乙方或乙方选定工程工程总承包单位原因致使项目进度延误，给甲方带来损失的，双方同意从乙方应分配的合作标的收益给予甲方赔偿。
2、乙方承诺建安成本在楼高不超过100米，按建筑面积4500元/㎡结算（主体3500元/㎡，装修不低于1000元/㎡）
超过100米，按双方认可的市场价格予以确认；（3.5.2）
所有支出需提供税局认可的真实有效增值税发票；</t>
  </si>
  <si>
    <r>
      <rPr>
        <sz val="9"/>
        <color rgb="FFFF0000"/>
        <rFont val="微软雅黑"/>
        <charset val="134"/>
      </rPr>
      <t>1、乙方对于前期已投入的3.5亿元，由乙方通过工程总承包合同处理，筹划方案经由甲方确认；</t>
    </r>
    <r>
      <rPr>
        <sz val="9"/>
        <color theme="1"/>
        <rFont val="微软雅黑"/>
        <charset val="134"/>
      </rPr>
      <t xml:space="preserve">
2、乙方承诺建安成本在楼高不超过100米，按建筑面积4500元/㎡结算（主体3500元/㎡，装修不低于1000元/㎡）
超过100米，按双方认可的市场价格予以确认；</t>
    </r>
  </si>
  <si>
    <r>
      <rPr>
        <sz val="9"/>
        <color theme="1"/>
        <rFont val="微软雅黑"/>
        <charset val="134"/>
      </rPr>
      <t>1、</t>
    </r>
    <r>
      <rPr>
        <sz val="9"/>
        <color rgb="FFFF0000"/>
        <rFont val="微软雅黑"/>
        <charset val="134"/>
      </rPr>
      <t>乙方负责合法选定合作标的的工程总包单位及签订总包合同，</t>
    </r>
    <r>
      <rPr>
        <sz val="9"/>
        <color theme="1"/>
        <rFont val="微软雅黑"/>
        <charset val="134"/>
      </rPr>
      <t>因乙方或乙方选定工程工程总承包单位原因致使项目进度延误，给甲方带来损失的，双方同意由总包单位依法偿还甲方，从乙方应分配的合作标的收益给予甲方赔偿。若因甲方原因导致资金无法满足工程进度，致使工程进度延误，给乙方带来损失的，则从甲方应分配的合作标的收益给予</t>
    </r>
    <r>
      <rPr>
        <sz val="9"/>
        <color rgb="FFFF0000"/>
        <rFont val="微软雅黑"/>
        <charset val="134"/>
      </rPr>
      <t>甲方</t>
    </r>
    <r>
      <rPr>
        <sz val="9"/>
        <color theme="1"/>
        <rFont val="微软雅黑"/>
        <charset val="134"/>
      </rPr>
      <t>赔偿；
2、对于乙方已经投入的3.5亿，在支付土地出让金及相关税费后，项目公司根据工程进度、融资房款、销售回款对前期投入进行返还，并按同比例向甲方返还投资款
3、同意样板房硬装由乙方负责（包含在约定的建安成本中），甲方负责销售中心室内部分硬软装实施，乙方承担1000元/㎡，剩余部分甲方承担。</t>
    </r>
  </si>
  <si>
    <r>
      <rPr>
        <sz val="9"/>
        <color theme="1"/>
        <rFont val="微软雅黑"/>
        <charset val="134"/>
      </rPr>
      <t>1、对前乙方单方面投入的用于支付推进天傲花园项目（金山湖）费用的投入资金，经甲乙双方认可的，甲方同意在乙方3提供合法有效票据的基础上，项目公司按年化12%支付上述总费用的利息给乙方指定账户，</t>
    </r>
    <r>
      <rPr>
        <sz val="9"/>
        <color rgb="FFFF0000"/>
        <rFont val="微软雅黑"/>
        <charset val="134"/>
      </rPr>
      <t>计息时间以乙方银行回单支付日期起算，按甲方实际归还时间为计息终止时间。</t>
    </r>
    <r>
      <rPr>
        <sz val="9"/>
        <color theme="1"/>
        <rFont val="微软雅黑"/>
        <charset val="134"/>
      </rPr>
      <t xml:space="preserve">乙方3需在支付前提供等额有效增值税专用发票。
</t>
    </r>
    <r>
      <rPr>
        <sz val="9"/>
        <color rgb="FFFF0000"/>
        <rFont val="微软雅黑"/>
        <charset val="134"/>
      </rPr>
      <t>2、天傲花园的大生产成本严重超出双方预想的标准。故原协议中3.5.2条款取消，调整为“天傲花园项目的所有与现场生产经营相关的事项，包括相关工程的发包由项目公司主导，项目董事会审定，具体工程发包事项由甲乙方各委派人员成立招标小组，组长由甲方担任。项目目标成本及成本标准，成本预算及结算由双方共同确认。发包合同以甲方范本为准。所有成本支付前，需提供等额有效增值税专用发票。</t>
    </r>
  </si>
  <si>
    <t>由甲方按全盘含税收入的2.3%包干</t>
  </si>
  <si>
    <t>样板房软装部分由甲方负责（包含在销售费用2.3%中）</t>
  </si>
  <si>
    <t>1、项目管理费整体不超过含税收入3.2%内据实结算；
2、品牌管理费：销售价格≤20000元，甲方按销售价3%计提管理费；
销售价格＞20000元，甲方按20000元/㎡的销售量3%计提管理费；
3、品牌管理费支付节点：项目开工时支付20%品牌管理费，首次预售时支付20%品牌管理费，后每年3、6、9、12月末按销售收入支付剩余60%品牌管理费</t>
  </si>
  <si>
    <t>1、项目公司管理费用不高于3.2%
①预留全盘销售收入1%用于双方共同开支，其中属于乙方3可以提取的报建费（取得施工证）按施工证建筑面积*17元/㎡计算，于取得首笔开发贷得次月提取，提取时乙方3需提供等额税局认可得增值税发票；
②全盘含税销售收入的2.2%用于支付甲乙双方在编人员及委派至项目公司服务人员的薪酬福利开支，其中固定部分，甲方600万/年，乙方3按年580万元提取。浮动部分，提取时间为次年1月，按上年销售收入*2.2%-(600+580),甲乙双方按20：80比例各自提取</t>
  </si>
  <si>
    <r>
      <rPr>
        <sz val="11"/>
        <color theme="1"/>
        <rFont val="宋体"/>
        <charset val="134"/>
        <scheme val="minor"/>
      </rPr>
      <t>我方收取保底收益1.6亿元（根据销售回款，每回款1亿元，退我司2千万，扣除税票成本12.5%，</t>
    </r>
    <r>
      <rPr>
        <sz val="11"/>
        <color rgb="FFFF0000"/>
        <rFont val="宋体"/>
        <charset val="134"/>
        <scheme val="minor"/>
      </rPr>
      <t>我司实收1.4亿元，</t>
    </r>
    <r>
      <rPr>
        <sz val="11"/>
        <color theme="1"/>
        <rFont val="宋体"/>
        <charset val="134"/>
        <scheme val="minor"/>
      </rPr>
      <t>从旭峰退回至海景）</t>
    </r>
  </si>
  <si>
    <r>
      <rPr>
        <sz val="11"/>
        <color theme="1"/>
        <rFont val="宋体"/>
        <charset val="134"/>
        <scheme val="minor"/>
      </rPr>
      <t>项目公司根据开发贷放款节奏退回</t>
    </r>
    <r>
      <rPr>
        <sz val="11"/>
        <color rgb="FFFF0000"/>
        <rFont val="宋体"/>
        <charset val="134"/>
        <scheme val="minor"/>
      </rPr>
      <t>我司投资本金1.22亿元</t>
    </r>
    <r>
      <rPr>
        <sz val="11"/>
        <color theme="1"/>
        <rFont val="宋体"/>
        <charset val="134"/>
        <scheme val="minor"/>
      </rPr>
      <t>（放款3.5亿，退5千万，放款至4亿元退回至8千万，放款至4.5亿元退回至1亿元，放款至5亿元退回完毕），如融资放款不足，则金山湖项目实现销售收入后先给项目公司预留6个月的运营资金，之后用于退回我司</t>
    </r>
  </si>
  <si>
    <t>应收回总额</t>
  </si>
  <si>
    <t>已回款</t>
  </si>
  <si>
    <t>已回款本金3000万（俊发融资额3000万元）</t>
  </si>
  <si>
    <t>剩余回收款</t>
  </si>
  <si>
    <t>剩余投资款未回款</t>
  </si>
  <si>
    <t>剩余收益款未回款</t>
  </si>
  <si>
    <t>股东2收益-合景经纪公司综合收益</t>
  </si>
  <si>
    <t>《深圳聚荣公司海景嘉福项目（别名-情海轩）历年投资及结算报告》</t>
  </si>
  <si>
    <t>目标1（海景嘉福项目可研报告）</t>
  </si>
  <si>
    <t>协议1-《惠东县巽寮管委会巽寮村黄竹洋村小组海滨公路下侧咸水埔地段商服、住宅用地合作开发项目合作协议书）</t>
  </si>
  <si>
    <t>协议2——海景嘉福合作项目补充协议1</t>
  </si>
  <si>
    <t>协议3-海景嘉福合作项目补充协议2</t>
  </si>
  <si>
    <t>协议4-海景嘉福合作项目补充协议4</t>
  </si>
  <si>
    <t>24年2月29日结算对比</t>
  </si>
  <si>
    <t>24年2月29日累计结算</t>
  </si>
  <si>
    <t>权责口径测算</t>
  </si>
  <si>
    <t>24年2月-23年2月</t>
  </si>
  <si>
    <t>账面原始</t>
  </si>
  <si>
    <t>调整管理费用</t>
  </si>
  <si>
    <t>惠州市海景嘉福房地产开发有限公司</t>
  </si>
  <si>
    <t>珠海横琴隽福项目投资合伙企业（有限合伙）-51%</t>
  </si>
  <si>
    <t>孙艳芳-49%</t>
  </si>
  <si>
    <t>孙艳芳-44.1%   杨达红-4.9%</t>
  </si>
  <si>
    <t>乙方（合作方）：孙艳芳-49%</t>
  </si>
  <si>
    <t>乙方（合作方）：
1-孙艳芳
2-杨达红
3-惠州市合景经济信息咨询有限公司</t>
  </si>
  <si>
    <t>项目公司：惠州市海景嘉福房地产开发有限公司</t>
  </si>
  <si>
    <t>≤3.0</t>
  </si>
  <si>
    <t>目前已取得备案价为1、2号楼，其中1号楼住宅均价15519元/㎡，2号楼住宅10000元/㎡</t>
  </si>
  <si>
    <t>由我方主导操盘</t>
  </si>
  <si>
    <t>本补充协议签订之日起3个工作日内，甲方向海景嘉福公司支付投资款中人名币壹仟万元，剩余投资款金额和支付节点按合作协议执行。</t>
  </si>
  <si>
    <t>收益分享20%；住宅网签均价大于15000原始，超过15000元部分产生的净利润，甲乙双方按40%：60%分享售价提升增加的项目净利润</t>
  </si>
  <si>
    <r>
      <rPr>
        <sz val="9"/>
        <color theme="1"/>
        <rFont val="微软雅黑"/>
        <charset val="134"/>
      </rPr>
      <t xml:space="preserve">1、品牌管理费：甲方按销售价3%计提管理费；
</t>
    </r>
    <r>
      <rPr>
        <sz val="9"/>
        <color rgb="FFFF0000"/>
        <rFont val="微软雅黑"/>
        <charset val="134"/>
      </rPr>
      <t>2、品牌管理费支付节点：项目开工时支付20%品牌管理费，首次预售时支付20%品牌管理费，后每年3、6、9、12月末按销售收入支付剩余60%品牌管理费</t>
    </r>
  </si>
  <si>
    <t>截至模拟清算基准日，已售部分按合作协议5.9条款中约定的支付节点由项目公司支付至甲方，未售部分的品牌管理费按【未售部分含税认购销售额*3%】计提。</t>
  </si>
  <si>
    <t>已收取300万元</t>
  </si>
  <si>
    <t>双方同意，在本协议签订前已发生的属于合作标的的成本为43,448,181.97元，以及双方谈判过程中乙方为海景嘉福项目垫付前期报建费200万元，乙方提供甲方认可的合法有效发票，纳入合作标的的成本。</t>
  </si>
  <si>
    <t>1、乙方对项目的前期投入及预计税后收益合计30000万元。甲方承诺在合作标的住宅网签均价不高于15000元时，乙方可收回前期投入及预计收益合计30000万元，扣除前述款项后项目收益归甲方享有；
2、如项目在建设开发中需要补缴土地出让金以及相关税费的，双方同意在项目住宅网签均价不高于15000元的，由甲方承担；项目住宅网签均价高于15000元时，甲乙双方按40%：60%比例承担，乙方同意从其前述前期投入及预计收益中扣除相应承担部分；
3、双方同意项目以往来款形式按以下节点向乙方支付前述投资收益：A甲方增资款进入项目并完成51%股权工商变更手续后，支付5000万元；B项目取得施工证起三个月内支付10000万元；C项目取得施工中起6个月内支付12000万元；D项目办理预售证时，如无需补缴土地出让金的，3个月内支付3000万元，如需补缴土地出让金的，扣除乙方应承担的60%部分后3个月内向乙方支付余额；
4、双方同意上述前期投入及税后收益通过工程合同处理。
5、甲方同意以永华工业园项目向乙方支付永华工业园项目介绍费用2500万元，支付节点：1）永华工业园项目公司股权完成工商变更后7个工作日内支付1000万元；2）永华工业园项目公司股权完成工商变更后3个月内支付剩余1500万元。</t>
  </si>
  <si>
    <t>1、合作协议签订前发生的属于项目公司的成本为【43448181.97】元（谈判过程中乙方为项目公司垫付的报建费200万元按原合作协议3.4.1条款执行），前期投入由乙方提供甲方认可的有效发票计入项目公司成本，并由项目公司与乙方通过补充《股东无息借款合同》的形式归还；
2、除去前述前期投入【43448181.97】元，剩余【256551818.03】元为乙方保底收益，该部分通过工程合同处理，乙方协调施工单位向项目公司提供真实有效增值税专用发票，双方约定由项目公司承担该部分12.5%的税费，即该部分由项目公司发包的工程合同含税价（即实付金额）合计【256551818.03】*（1+12.5%），项目公司实际收取发票金额为【256551818.03】元，余下部分计入项目公司营业外支出。
如涉及其他费用由乙方自行承担。支付节点按补充协议约定，乙方开具发票方式及时间按双方后续确认的合同清单及税务方案确认。</t>
  </si>
  <si>
    <t>预计收益的支付调整：
A.甲方增资款进入项目公司并完成51%股权工商变更手续后5个工作日内，支付5000万元；
B.甲方增资款进入项目公司并完成51%股权工商变更手续后3个月内，支付10000万元，期间项目发放的房地产开发贷款优先用于支付上述款项；
C.甲方增资款进入项目公司并完成51%股权工商变更手续后6个月内支付12000万元。</t>
  </si>
  <si>
    <t>甲方已通过项目公司已向乙方合计支付资金【279031531.32】元，本协议签订后，甲方应通过项目公司向乙方支付【20968465.68】元，支付节点如下：
1）当海景项目实际到账销售金额累计达到【1亿】后3个工作日内，项目公司应支付【1000万】元；
2）当海景项目实际到账销售金额累计达到【2亿}元后3个工作日内，项目公司应支付【10968465.68】元。</t>
  </si>
  <si>
    <t>高管人员：
1、董事会：5人（甲方2，乙方3），董事长乙方委任；
2、监事：2人（甲方1人，乙方1人）；
3、经营管理层：甲方委派人员为主（总经理，大生产、营销、融资、财务），乙方为辅（副总经理、开发报建，税务关系）
4、在授权范围内按甲方管理制度运作；</t>
  </si>
  <si>
    <t>合作标的项目全过程的经营管理由甲方决策及负责。</t>
  </si>
  <si>
    <t>项目日常管理中，项目目标成本及成本标准、成本预算及结算应经双方共同确认，发包合同以甲方范文为准。</t>
  </si>
  <si>
    <t>我方主导操盘管理</t>
  </si>
  <si>
    <t>原报表投入产出</t>
  </si>
  <si>
    <t>海景预付旭锋工程款，视同股东方收回保底收益</t>
  </si>
  <si>
    <t>聚融直接调款至合景（杨老太）</t>
  </si>
  <si>
    <t>投入产出（不含贷款）</t>
  </si>
  <si>
    <t>认购口径利润表</t>
  </si>
  <si>
    <t>总支出</t>
  </si>
  <si>
    <t>（一）</t>
  </si>
  <si>
    <t>（二）</t>
  </si>
  <si>
    <t>优先选择乙方推荐单位作为合作标的工程总包单位和分包单位</t>
  </si>
  <si>
    <t>乙方对于前期及税后收益3亿元通过工程合同处理</t>
  </si>
  <si>
    <t>甲方同意由乙方推荐单位作为合作标的工程总包单位和分包单位，但乙方需保证其推荐的单位复核报建所需资质且项目建安成本支出按建筑面积【3050】元/平方米单价包干总承包（超出部分金额由乙方承担），前述成本支出为除了土地出让金及契税、室内二次装修界面外全部建设成本开支，包括前期工程费、建筑安装工程、市政及环境工程、公建配套和开发间接费。</t>
  </si>
  <si>
    <r>
      <rPr>
        <sz val="9"/>
        <color theme="1"/>
        <rFont val="微软雅黑"/>
        <charset val="134"/>
      </rPr>
      <t>在海景嘉福项目公司增资扩股后，对乙方单方面投入的用于支付推进海景嘉福情海轩项目费用的投入资金，经甲乙双方认可的，甲方同意在乙方提供合法有效票据的基础上，项目公司按年化12%支付上述总费用的利息给乙方指定账户，</t>
    </r>
    <r>
      <rPr>
        <sz val="9"/>
        <color rgb="FFFF0000"/>
        <rFont val="微软雅黑"/>
        <charset val="134"/>
      </rPr>
      <t>计息时间以乙方银行回单支付日期起算，按甲方实际归还时间为计息终止时间。</t>
    </r>
    <r>
      <rPr>
        <sz val="9"/>
        <color theme="1"/>
        <rFont val="微软雅黑"/>
        <charset val="134"/>
      </rPr>
      <t xml:space="preserve">乙方需在支付前提供等额有效增值税专用发票。
</t>
    </r>
  </si>
  <si>
    <t>（三）</t>
  </si>
  <si>
    <t>截至模拟清算基准日，已发生的营销费用取账面金额，未售部分对应营销费用按【未售部分含税认购销售额*2.3%】计提，超出部分由乙方自行承担。</t>
  </si>
  <si>
    <t>项目公司营销费用2.3%</t>
  </si>
  <si>
    <t>截至模拟清算基准日，已发生的管理费用取账面金额，未售部分对应营销费用按【未售部分含税认购销售额*3.2%】计提，超出部分由乙方自行承担。</t>
  </si>
  <si>
    <t>项目公司管理费用3.2%
①乙方1、乙方2人员在编5人工资包为138万元/年（含税）。第一年2021年于取得首笔开发贷的次月提取；第二年2022年及以后为每年1月提取；
②甲方提取及支配按全盘含税销售收入的3.2%扣除乙方每年138万工资包的累计费用提取。</t>
  </si>
  <si>
    <t>甲方主导融资的，承诺该银行开发贷融资成本不超过人民银行同期贷款基准利率上浮40%的标准执行，如实际开发贷融资成本超过此标准，超出部分在甲方权益利润中扣除；另甲方提供给项目公司的借款利息按《借款合同》执行。</t>
  </si>
  <si>
    <t>（四）</t>
  </si>
  <si>
    <t>（五）</t>
  </si>
  <si>
    <t>（六）</t>
  </si>
  <si>
    <t>收购前发生费用</t>
  </si>
  <si>
    <t>调整数</t>
  </si>
  <si>
    <t>代垫物业维修基金</t>
  </si>
  <si>
    <t>借款调入调出净额（+调入-调出）</t>
  </si>
  <si>
    <t>待收回</t>
  </si>
  <si>
    <t>合作方收购前投入往来用于工程建设，我司不视为合作方投入：</t>
  </si>
  <si>
    <t>调减</t>
  </si>
  <si>
    <t>调整合作方通过海景退回金山湖本金：</t>
  </si>
  <si>
    <t>合作方投入用于支付其自身费用（我方不承担），调减管理费用</t>
  </si>
  <si>
    <t>根据合作方收回的差，调减工程款</t>
  </si>
  <si>
    <t>收购前发生费用，我司不承担</t>
  </si>
  <si>
    <t>合作方支付的费用，我司不承担</t>
  </si>
  <si>
    <t>校验：</t>
  </si>
  <si>
    <t>上市披露业绩按工商股权比例假设测算（我司51%业绩合并）</t>
    <phoneticPr fontId="62" type="noConversion"/>
  </si>
  <si>
    <t>土地成本</t>
    <phoneticPr fontId="62" type="noConversion"/>
  </si>
  <si>
    <t>大生产成本</t>
    <phoneticPr fontId="62" type="noConversion"/>
  </si>
  <si>
    <r>
      <rPr>
        <b/>
        <sz val="11"/>
        <color theme="1"/>
        <rFont val="微软雅黑"/>
        <family val="2"/>
        <charset val="134"/>
      </rPr>
      <t>结论:</t>
    </r>
    <r>
      <rPr>
        <sz val="11"/>
        <color theme="1"/>
        <rFont val="微软雅黑"/>
        <family val="2"/>
        <charset val="134"/>
      </rPr>
      <t xml:space="preserve">
目前合作方仍持有项目公司49%股权，按协议约定，合作方在支付完我司金山湖项目所有收益及款项后，才能退出海景项目股权。</t>
    </r>
    <phoneticPr fontId="62" type="noConversion"/>
  </si>
  <si>
    <t>和解协议目标数</t>
    <phoneticPr fontId="62" type="noConversion"/>
  </si>
  <si>
    <t>其中</t>
    <phoneticPr fontId="62" type="noConversion"/>
  </si>
  <si>
    <t>1、无融资担保
2、收回利息284万元</t>
    <phoneticPr fontId="62" type="noConversion"/>
  </si>
  <si>
    <t>裁决</t>
    <phoneticPr fontId="62" type="noConversion"/>
  </si>
  <si>
    <t>累计回报率</t>
    <phoneticPr fontId="6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</si>
</sst>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1" formatCode="_ * #,##0_ ;_ * \-#,##0_ ;_ * &quot;-&quot;_ ;_ @_ "/>
    <numFmt numFmtId="43" formatCode="_ * #,##0.00_ ;_ * \-#,##0.00_ ;_ * &quot;-&quot;??_ ;_ @_ "/>
    <numFmt numFmtId="176" formatCode="#,##0.00_ "/>
    <numFmt numFmtId="177" formatCode="0.00_);[Red]\(0.00\)"/>
    <numFmt numFmtId="178" formatCode="_ * #,##0_ ;_ * \-#,##0_ ;_ * &quot;-&quot;??_ ;_ @_ "/>
    <numFmt numFmtId="179" formatCode="yyyy&quot;年&quot;m&quot;月&quot;;@"/>
    <numFmt numFmtId="180" formatCode="#,##0_ "/>
    <numFmt numFmtId="181" formatCode="yyyy/m/d;@"/>
    <numFmt numFmtId="182" formatCode="0.0%"/>
    <numFmt numFmtId="183" formatCode="_ * #,##0.00_ ;_ * \-#,##0.00_ ;_ * &quot;-&quot;_ ;_ @_ "/>
    <numFmt numFmtId="184" formatCode="0.00_ "/>
  </numFmts>
  <fonts count="72" x14ac:knownFonts="1">
    <font>
      <sz val="11"/>
      <color theme="1"/>
      <name val="宋体"/>
      <charset val="134"/>
      <scheme val="minor"/>
    </font>
    <font>
      <b/>
      <sz val="11"/>
      <color theme="1"/>
      <name val="宋体"/>
      <charset val="134"/>
      <scheme val="minor"/>
    </font>
    <font>
      <sz val="9"/>
      <color theme="1"/>
      <name val="微软雅黑"/>
      <charset val="134"/>
    </font>
    <font>
      <sz val="11"/>
      <name val="宋体"/>
      <charset val="134"/>
      <scheme val="minor"/>
    </font>
    <font>
      <b/>
      <sz val="11"/>
      <name val="宋体"/>
      <charset val="134"/>
      <scheme val="minor"/>
    </font>
    <font>
      <sz val="12"/>
      <color theme="1"/>
      <name val="宋体"/>
      <charset val="134"/>
      <scheme val="minor"/>
    </font>
    <font>
      <b/>
      <sz val="11"/>
      <color theme="0"/>
      <name val="宋体"/>
      <charset val="134"/>
      <scheme val="minor"/>
    </font>
    <font>
      <sz val="11"/>
      <color theme="0"/>
      <name val="宋体"/>
      <charset val="134"/>
      <scheme val="minor"/>
    </font>
    <font>
      <sz val="9"/>
      <color rgb="FFFF0000"/>
      <name val="微软雅黑"/>
      <charset val="134"/>
    </font>
    <font>
      <b/>
      <sz val="9"/>
      <color theme="1"/>
      <name val="微软雅黑"/>
      <charset val="134"/>
    </font>
    <font>
      <b/>
      <sz val="11"/>
      <color rgb="FFFF0000"/>
      <name val="宋体"/>
      <charset val="134"/>
      <scheme val="minor"/>
    </font>
    <font>
      <sz val="9"/>
      <name val="微软雅黑"/>
      <charset val="134"/>
    </font>
    <font>
      <b/>
      <sz val="9"/>
      <name val="微软雅黑"/>
      <charset val="134"/>
    </font>
    <font>
      <sz val="12"/>
      <color theme="0"/>
      <name val="宋体"/>
      <charset val="134"/>
      <scheme val="minor"/>
    </font>
    <font>
      <sz val="12"/>
      <color theme="1"/>
      <name val="微软雅黑"/>
      <charset val="134"/>
    </font>
    <font>
      <b/>
      <sz val="12"/>
      <color theme="1"/>
      <name val="宋体"/>
      <charset val="134"/>
      <scheme val="minor"/>
    </font>
    <font>
      <sz val="12"/>
      <name val="宋体"/>
      <charset val="134"/>
      <scheme val="minor"/>
    </font>
    <font>
      <b/>
      <sz val="12"/>
      <name val="宋体"/>
      <charset val="134"/>
      <scheme val="minor"/>
    </font>
    <font>
      <sz val="11"/>
      <color rgb="FFFF0000"/>
      <name val="宋体"/>
      <charset val="134"/>
      <scheme val="minor"/>
    </font>
    <font>
      <sz val="11"/>
      <color rgb="FF0070C0"/>
      <name val="宋体"/>
      <charset val="134"/>
      <scheme val="minor"/>
    </font>
    <font>
      <sz val="9"/>
      <color rgb="FF0070C0"/>
      <name val="微软雅黑"/>
      <charset val="134"/>
    </font>
    <font>
      <b/>
      <sz val="11"/>
      <color rgb="FF0070C0"/>
      <name val="宋体"/>
      <charset val="134"/>
      <scheme val="minor"/>
    </font>
    <font>
      <sz val="8"/>
      <color theme="1"/>
      <name val="微软雅黑"/>
      <charset val="134"/>
    </font>
    <font>
      <b/>
      <sz val="8"/>
      <color theme="1"/>
      <name val="微软雅黑"/>
      <charset val="134"/>
    </font>
    <font>
      <sz val="8"/>
      <color rgb="FFFF0000"/>
      <name val="微软雅黑"/>
      <charset val="134"/>
    </font>
    <font>
      <b/>
      <i/>
      <sz val="6"/>
      <color theme="1"/>
      <name val="微软雅黑"/>
      <charset val="134"/>
    </font>
    <font>
      <sz val="11"/>
      <color theme="1"/>
      <name val="微软雅黑"/>
      <charset val="134"/>
    </font>
    <font>
      <sz val="6"/>
      <color theme="1"/>
      <name val="微软雅黑"/>
      <charset val="134"/>
    </font>
    <font>
      <sz val="11"/>
      <name val="微软雅黑"/>
      <charset val="134"/>
    </font>
    <font>
      <sz val="6"/>
      <name val="微软雅黑"/>
      <charset val="134"/>
    </font>
    <font>
      <b/>
      <sz val="14"/>
      <color theme="1"/>
      <name val="微软雅黑"/>
      <charset val="134"/>
    </font>
    <font>
      <sz val="8"/>
      <name val="微软雅黑"/>
      <charset val="134"/>
    </font>
    <font>
      <b/>
      <sz val="8"/>
      <color theme="0"/>
      <name val="微软雅黑"/>
      <charset val="134"/>
    </font>
    <font>
      <sz val="8"/>
      <color theme="0"/>
      <name val="微软雅黑"/>
      <charset val="134"/>
    </font>
    <font>
      <b/>
      <sz val="8"/>
      <name val="微软雅黑"/>
      <charset val="134"/>
    </font>
    <font>
      <b/>
      <sz val="6"/>
      <name val="微软雅黑"/>
      <charset val="134"/>
    </font>
    <font>
      <b/>
      <sz val="6"/>
      <color theme="1"/>
      <name val="微软雅黑"/>
      <charset val="134"/>
    </font>
    <font>
      <sz val="6"/>
      <color theme="0"/>
      <name val="微软雅黑"/>
      <charset val="134"/>
    </font>
    <font>
      <sz val="6"/>
      <color rgb="FFFF0000"/>
      <name val="微软雅黑"/>
      <charset val="134"/>
    </font>
    <font>
      <sz val="8"/>
      <color rgb="FFC00000"/>
      <name val="微软雅黑"/>
      <charset val="134"/>
    </font>
    <font>
      <i/>
      <sz val="8"/>
      <color theme="1"/>
      <name val="微软雅黑"/>
      <charset val="134"/>
    </font>
    <font>
      <i/>
      <sz val="8"/>
      <name val="微软雅黑"/>
      <charset val="134"/>
    </font>
    <font>
      <i/>
      <sz val="6"/>
      <color theme="1"/>
      <name val="微软雅黑"/>
      <charset val="134"/>
    </font>
    <font>
      <b/>
      <i/>
      <sz val="6"/>
      <name val="微软雅黑"/>
      <charset val="134"/>
    </font>
    <font>
      <i/>
      <sz val="6"/>
      <name val="微软雅黑"/>
      <charset val="134"/>
    </font>
    <font>
      <b/>
      <sz val="6"/>
      <color theme="0"/>
      <name val="微软雅黑"/>
      <charset val="134"/>
    </font>
    <font>
      <b/>
      <sz val="8"/>
      <color rgb="FFC00000"/>
      <name val="微软雅黑"/>
      <charset val="134"/>
    </font>
    <font>
      <b/>
      <sz val="11"/>
      <color theme="1"/>
      <name val="微软雅黑"/>
      <charset val="134"/>
    </font>
    <font>
      <sz val="14"/>
      <color theme="1"/>
      <name val="微软雅黑"/>
      <charset val="134"/>
    </font>
    <font>
      <sz val="10"/>
      <color theme="1"/>
      <name val="微软雅黑"/>
      <charset val="134"/>
    </font>
    <font>
      <u/>
      <sz val="11"/>
      <color rgb="FF800080"/>
      <name val="宋体"/>
      <charset val="134"/>
      <scheme val="minor"/>
    </font>
    <font>
      <b/>
      <sz val="9"/>
      <color theme="0"/>
      <name val="微软雅黑"/>
      <charset val="134"/>
    </font>
    <font>
      <b/>
      <sz val="9"/>
      <color rgb="FFFF0000"/>
      <name val="微软雅黑"/>
      <charset val="134"/>
    </font>
    <font>
      <sz val="9"/>
      <color theme="0"/>
      <name val="微软雅黑"/>
      <charset val="134"/>
    </font>
    <font>
      <b/>
      <sz val="9"/>
      <color rgb="FFC00000"/>
      <name val="微软雅黑"/>
      <charset val="134"/>
    </font>
    <font>
      <sz val="11"/>
      <color theme="1"/>
      <name val="宋体"/>
      <charset val="134"/>
      <scheme val="minor"/>
    </font>
    <font>
      <u/>
      <sz val="11"/>
      <color theme="10"/>
      <name val="宋体"/>
      <charset val="134"/>
      <scheme val="minor"/>
    </font>
    <font>
      <sz val="6"/>
      <color rgb="FFC00000"/>
      <name val="微软雅黑"/>
      <charset val="134"/>
    </font>
    <font>
      <sz val="11"/>
      <color rgb="FFFF0000"/>
      <name val="微软雅黑"/>
      <charset val="134"/>
    </font>
    <font>
      <sz val="11"/>
      <color rgb="FFC00000"/>
      <name val="微软雅黑"/>
      <charset val="134"/>
    </font>
    <font>
      <b/>
      <sz val="9"/>
      <name val="宋体"/>
      <charset val="134"/>
    </font>
    <font>
      <sz val="9"/>
      <name val="宋体"/>
      <charset val="134"/>
    </font>
    <font>
      <sz val="9"/>
      <name val="宋体"/>
      <family val="3"/>
      <charset val="134"/>
      <scheme val="minor"/>
    </font>
    <font>
      <b/>
      <sz val="8"/>
      <color theme="0"/>
      <name val="微软雅黑"/>
      <family val="2"/>
      <charset val="134"/>
    </font>
    <font>
      <sz val="8"/>
      <name val="微软雅黑"/>
      <family val="2"/>
      <charset val="134"/>
    </font>
    <font>
      <sz val="11"/>
      <color theme="1"/>
      <name val="微软雅黑"/>
      <family val="2"/>
      <charset val="134"/>
    </font>
    <font>
      <b/>
      <sz val="11"/>
      <color theme="1"/>
      <name val="微软雅黑"/>
      <family val="2"/>
      <charset val="134"/>
    </font>
    <font>
      <b/>
      <sz val="8"/>
      <color theme="1"/>
      <name val="微软雅黑"/>
      <family val="2"/>
      <charset val="134"/>
    </font>
    <font>
      <sz val="8"/>
      <color theme="1"/>
      <name val="微软雅黑"/>
      <family val="2"/>
      <charset val="134"/>
    </font>
    <font>
      <b/>
      <sz val="9"/>
      <color rgb="FFFF0000"/>
      <name val="微软雅黑"/>
      <family val="2"/>
      <charset val="134"/>
    </font>
    <font>
      <sz val="9"/>
      <color theme="1"/>
      <name val="微软雅黑"/>
      <family val="2"/>
      <charset val="134"/>
    </font>
    <font>
      <b/>
      <sz val="9"/>
      <color theme="1"/>
      <name val="微软雅黑"/>
      <family val="2"/>
      <charset val="134"/>
    </font>
  </fonts>
  <fills count="23">
    <fill>
      <patternFill patternType="none"/>
    </fill>
    <fill>
      <patternFill patternType="gray125"/>
    </fill>
    <fill>
      <patternFill patternType="solid">
        <fgColor theme="0" tint="-0.34998626667073579"/>
        <bgColor indexed="64"/>
      </patternFill>
    </fill>
    <fill>
      <patternFill patternType="solid">
        <fgColor theme="4" tint="-0.499984740745262"/>
        <bgColor indexed="64"/>
      </patternFill>
    </fill>
    <fill>
      <patternFill patternType="solid">
        <fgColor rgb="FF92D050"/>
        <bgColor indexed="64"/>
      </patternFill>
    </fill>
    <fill>
      <patternFill patternType="solid">
        <fgColor theme="4" tint="0.79970702230903046"/>
        <bgColor indexed="64"/>
      </patternFill>
    </fill>
    <fill>
      <patternFill patternType="solid">
        <fgColor rgb="FFFFFF00"/>
        <bgColor indexed="64"/>
      </patternFill>
    </fill>
    <fill>
      <patternFill patternType="solid">
        <fgColor theme="2" tint="-9.9978637043366805E-2"/>
        <bgColor indexed="64"/>
      </patternFill>
    </fill>
    <fill>
      <patternFill patternType="solid">
        <fgColor theme="1"/>
        <bgColor indexed="64"/>
      </patternFill>
    </fill>
    <fill>
      <patternFill patternType="solid">
        <fgColor theme="5" tint="-0.249977111117893"/>
        <bgColor indexed="64"/>
      </patternFill>
    </fill>
    <fill>
      <patternFill patternType="solid">
        <fgColor theme="4" tint="0.79973754081850645"/>
        <bgColor indexed="64"/>
      </patternFill>
    </fill>
    <fill>
      <patternFill patternType="solid">
        <fgColor theme="4" tint="0.79967650379955446"/>
        <bgColor indexed="64"/>
      </patternFill>
    </fill>
    <fill>
      <patternFill patternType="solid">
        <fgColor theme="0"/>
        <bgColor indexed="64"/>
      </patternFill>
    </fill>
    <fill>
      <patternFill patternType="solid">
        <fgColor theme="0" tint="-0.1498458815271462"/>
        <bgColor indexed="64"/>
      </patternFill>
    </fill>
    <fill>
      <patternFill patternType="solid">
        <fgColor theme="6" tint="0.79992065187536243"/>
        <bgColor indexed="64"/>
      </patternFill>
    </fill>
    <fill>
      <patternFill patternType="solid">
        <fgColor theme="4" tint="0.79982909634693444"/>
        <bgColor indexed="64"/>
      </patternFill>
    </fill>
    <fill>
      <patternFill patternType="solid">
        <fgColor theme="0" tint="-0.1498764000366222"/>
        <bgColor indexed="64"/>
      </patternFill>
    </fill>
    <fill>
      <patternFill patternType="solid">
        <fgColor theme="2" tint="-0.749992370372631"/>
        <bgColor indexed="64"/>
      </patternFill>
    </fill>
    <fill>
      <patternFill patternType="solid">
        <fgColor theme="0" tint="-0.249977111117893"/>
        <bgColor indexed="64"/>
      </patternFill>
    </fill>
    <fill>
      <patternFill patternType="solid">
        <fgColor theme="0" tint="-4.9989318521683403E-2"/>
        <bgColor indexed="64"/>
      </patternFill>
    </fill>
    <fill>
      <patternFill patternType="solid">
        <fgColor theme="6" tint="0.79995117038483843"/>
        <bgColor indexed="64"/>
      </patternFill>
    </fill>
    <fill>
      <patternFill patternType="solid">
        <fgColor theme="0"/>
        <bgColor indexed="64"/>
      </patternFill>
    </fill>
    <fill>
      <patternFill patternType="solid">
        <fgColor theme="0" tint="-4.9989318521683403E-2"/>
        <bgColor indexed="64"/>
      </patternFill>
    </fill>
  </fills>
  <borders count="174">
    <border>
      <left/>
      <right/>
      <top/>
      <bottom/>
      <diagonal/>
    </border>
    <border>
      <left/>
      <right/>
      <top/>
      <bottom style="medium">
        <color auto="1"/>
      </bottom>
      <diagonal/>
    </border>
    <border>
      <left style="medium">
        <color auto="1"/>
      </left>
      <right/>
      <top style="medium">
        <color auto="1"/>
      </top>
      <bottom/>
      <diagonal/>
    </border>
    <border>
      <left/>
      <right/>
      <top style="medium">
        <color auto="1"/>
      </top>
      <bottom/>
      <diagonal/>
    </border>
    <border>
      <left style="medium">
        <color auto="1"/>
      </left>
      <right/>
      <top/>
      <bottom style="medium">
        <color auto="1"/>
      </bottom>
      <diagonal/>
    </border>
    <border>
      <left style="medium">
        <color auto="1"/>
      </left>
      <right/>
      <top/>
      <bottom/>
      <diagonal/>
    </border>
    <border>
      <left/>
      <right style="medium">
        <color auto="1"/>
      </right>
      <top style="medium">
        <color auto="1"/>
      </top>
      <bottom/>
      <diagonal/>
    </border>
    <border>
      <left/>
      <right style="medium">
        <color auto="1"/>
      </right>
      <top/>
      <bottom/>
      <diagonal/>
    </border>
    <border>
      <left/>
      <right style="medium">
        <color auto="1"/>
      </right>
      <top/>
      <bottom style="medium">
        <color auto="1"/>
      </bottom>
      <diagonal/>
    </border>
    <border>
      <left style="medium">
        <color auto="1"/>
      </left>
      <right/>
      <top style="medium">
        <color auto="1"/>
      </top>
      <bottom style="thin">
        <color theme="0" tint="-0.14990691854609822"/>
      </bottom>
      <diagonal/>
    </border>
    <border>
      <left/>
      <right/>
      <top style="medium">
        <color auto="1"/>
      </top>
      <bottom style="thin">
        <color theme="0" tint="-0.14990691854609822"/>
      </bottom>
      <diagonal/>
    </border>
    <border>
      <left style="medium">
        <color auto="1"/>
      </left>
      <right/>
      <top/>
      <bottom style="thin">
        <color theme="0" tint="-0.14990691854609822"/>
      </bottom>
      <diagonal/>
    </border>
    <border>
      <left/>
      <right/>
      <top style="thin">
        <color theme="0" tint="-0.14990691854609822"/>
      </top>
      <bottom style="thin">
        <color theme="0" tint="-0.14990691854609822"/>
      </bottom>
      <diagonal/>
    </border>
    <border>
      <left/>
      <right/>
      <top/>
      <bottom style="thin">
        <color theme="0" tint="-0.14990691854609822"/>
      </bottom>
      <diagonal/>
    </border>
    <border>
      <left/>
      <right/>
      <top style="thin">
        <color theme="0" tint="-0.14990691854609822"/>
      </top>
      <bottom/>
      <diagonal/>
    </border>
    <border>
      <left/>
      <right/>
      <top style="thin">
        <color theme="0" tint="-0.14990691854609822"/>
      </top>
      <bottom style="medium">
        <color auto="1"/>
      </bottom>
      <diagonal/>
    </border>
    <border>
      <left style="medium">
        <color auto="1"/>
      </left>
      <right/>
      <top style="medium">
        <color auto="1"/>
      </top>
      <bottom style="medium">
        <color auto="1"/>
      </bottom>
      <diagonal/>
    </border>
    <border>
      <left/>
      <right/>
      <top style="medium">
        <color auto="1"/>
      </top>
      <bottom style="medium">
        <color auto="1"/>
      </bottom>
      <diagonal/>
    </border>
    <border>
      <left style="medium">
        <color rgb="FF000000"/>
      </left>
      <right style="thin">
        <color theme="0" tint="-0.1498764000366222"/>
      </right>
      <top/>
      <bottom/>
      <diagonal/>
    </border>
    <border>
      <left style="thin">
        <color theme="0" tint="-0.1498764000366222"/>
      </left>
      <right/>
      <top/>
      <bottom/>
      <diagonal/>
    </border>
    <border>
      <left style="medium">
        <color auto="1"/>
      </left>
      <right style="medium">
        <color theme="0" tint="-0.1498764000366222"/>
      </right>
      <top style="medium">
        <color auto="1"/>
      </top>
      <bottom style="medium">
        <color theme="0" tint="-0.1498458815271462"/>
      </bottom>
      <diagonal/>
    </border>
    <border>
      <left style="medium">
        <color theme="0" tint="-0.1498764000366222"/>
      </left>
      <right style="medium">
        <color theme="0" tint="-0.1498764000366222"/>
      </right>
      <top style="medium">
        <color auto="1"/>
      </top>
      <bottom style="medium">
        <color theme="0" tint="-0.1498458815271462"/>
      </bottom>
      <diagonal/>
    </border>
    <border>
      <left style="medium">
        <color theme="0" tint="-0.1498764000366222"/>
      </left>
      <right style="medium">
        <color auto="1"/>
      </right>
      <top style="medium">
        <color auto="1"/>
      </top>
      <bottom style="medium">
        <color theme="0" tint="-0.1498458815271462"/>
      </bottom>
      <diagonal/>
    </border>
    <border>
      <left style="medium">
        <color auto="1"/>
      </left>
      <right style="medium">
        <color theme="0" tint="-0.1498458815271462"/>
      </right>
      <top style="medium">
        <color auto="1"/>
      </top>
      <bottom style="medium">
        <color theme="0" tint="-0.1498458815271462"/>
      </bottom>
      <diagonal/>
    </border>
    <border>
      <left style="medium">
        <color theme="0" tint="-0.1498458815271462"/>
      </left>
      <right style="medium">
        <color auto="1"/>
      </right>
      <top style="medium">
        <color auto="1"/>
      </top>
      <bottom style="medium">
        <color theme="0" tint="-0.1498458815271462"/>
      </bottom>
      <diagonal/>
    </border>
    <border>
      <left style="medium">
        <color auto="1"/>
      </left>
      <right style="medium">
        <color theme="0" tint="-0.1498764000366222"/>
      </right>
      <top style="medium">
        <color auto="1"/>
      </top>
      <bottom style="medium">
        <color theme="0" tint="-0.1498764000366222"/>
      </bottom>
      <diagonal/>
    </border>
    <border>
      <left style="medium">
        <color theme="0" tint="-0.1498764000366222"/>
      </left>
      <right style="medium">
        <color auto="1"/>
      </right>
      <top style="medium">
        <color auto="1"/>
      </top>
      <bottom style="medium">
        <color theme="0" tint="-0.1498764000366222"/>
      </bottom>
      <diagonal/>
    </border>
    <border>
      <left style="medium">
        <color auto="1"/>
      </left>
      <right style="medium">
        <color theme="0" tint="-0.1498458815271462"/>
      </right>
      <top style="medium">
        <color theme="0" tint="-0.1498458815271462"/>
      </top>
      <bottom style="medium">
        <color theme="0" tint="-0.1498458815271462"/>
      </bottom>
      <diagonal/>
    </border>
    <border>
      <left style="medium">
        <color theme="0" tint="-0.1498458815271462"/>
      </left>
      <right style="medium">
        <color theme="0" tint="-0.1498458815271462"/>
      </right>
      <top style="medium">
        <color theme="0" tint="-0.1498458815271462"/>
      </top>
      <bottom style="medium">
        <color theme="0" tint="-0.1498458815271462"/>
      </bottom>
      <diagonal/>
    </border>
    <border>
      <left style="medium">
        <color theme="0" tint="-0.1498458815271462"/>
      </left>
      <right style="medium">
        <color auto="1"/>
      </right>
      <top style="medium">
        <color theme="0" tint="-0.1498458815271462"/>
      </top>
      <bottom style="medium">
        <color theme="0" tint="-0.1498458815271462"/>
      </bottom>
      <diagonal/>
    </border>
    <border>
      <left style="medium">
        <color auto="1"/>
      </left>
      <right style="medium">
        <color theme="0" tint="-0.1498764000366222"/>
      </right>
      <top style="medium">
        <color theme="0" tint="-0.1498764000366222"/>
      </top>
      <bottom style="medium">
        <color theme="0" tint="-0.1498764000366222"/>
      </bottom>
      <diagonal/>
    </border>
    <border>
      <left style="medium">
        <color theme="0" tint="-0.1498764000366222"/>
      </left>
      <right style="medium">
        <color auto="1"/>
      </right>
      <top style="medium">
        <color theme="0" tint="-0.1498764000366222"/>
      </top>
      <bottom style="medium">
        <color theme="0" tint="-0.1498764000366222"/>
      </bottom>
      <diagonal/>
    </border>
    <border>
      <left/>
      <right style="medium">
        <color auto="1"/>
      </right>
      <top style="medium">
        <color auto="1"/>
      </top>
      <bottom style="medium">
        <color auto="1"/>
      </bottom>
      <diagonal/>
    </border>
    <border>
      <left style="medium">
        <color theme="0" tint="-0.1498458815271462"/>
      </left>
      <right style="medium">
        <color theme="0" tint="-0.1498458815271462"/>
      </right>
      <top style="medium">
        <color auto="1"/>
      </top>
      <bottom style="medium">
        <color theme="0" tint="-0.1498458815271462"/>
      </bottom>
      <diagonal/>
    </border>
    <border>
      <left style="medium">
        <color theme="0" tint="-0.1498764000366222"/>
      </left>
      <right/>
      <top style="medium">
        <color auto="1"/>
      </top>
      <bottom style="medium">
        <color theme="0" tint="-0.1498764000366222"/>
      </bottom>
      <diagonal/>
    </border>
    <border>
      <left/>
      <right style="medium">
        <color theme="0" tint="-0.1498764000366222"/>
      </right>
      <top style="medium">
        <color auto="1"/>
      </top>
      <bottom style="medium">
        <color theme="0" tint="-0.1498764000366222"/>
      </bottom>
      <diagonal/>
    </border>
    <border>
      <left/>
      <right style="medium">
        <color auto="1"/>
      </right>
      <top style="medium">
        <color auto="1"/>
      </top>
      <bottom style="medium">
        <color theme="0" tint="-0.1498764000366222"/>
      </bottom>
      <diagonal/>
    </border>
    <border>
      <left style="medium">
        <color theme="0" tint="-0.1498764000366222"/>
      </left>
      <right/>
      <top style="medium">
        <color theme="0" tint="-0.1498764000366222"/>
      </top>
      <bottom style="medium">
        <color theme="0" tint="-0.1498764000366222"/>
      </bottom>
      <diagonal/>
    </border>
    <border>
      <left/>
      <right style="medium">
        <color theme="0" tint="-0.1498764000366222"/>
      </right>
      <top style="medium">
        <color theme="0" tint="-0.1498764000366222"/>
      </top>
      <bottom style="medium">
        <color theme="0" tint="-0.1498764000366222"/>
      </bottom>
      <diagonal/>
    </border>
    <border>
      <left/>
      <right/>
      <top style="medium">
        <color theme="0" tint="-0.1498764000366222"/>
      </top>
      <bottom style="medium">
        <color theme="0" tint="-0.1498764000366222"/>
      </bottom>
      <diagonal/>
    </border>
    <border>
      <left/>
      <right style="medium">
        <color rgb="FF000000"/>
      </right>
      <top style="medium">
        <color theme="0" tint="-0.1498764000366222"/>
      </top>
      <bottom style="medium">
        <color theme="0" tint="-0.1498764000366222"/>
      </bottom>
      <diagonal/>
    </border>
    <border>
      <left style="medium">
        <color theme="0" tint="-0.1498764000366222"/>
      </left>
      <right style="medium">
        <color theme="0" tint="-0.1498764000366222"/>
      </right>
      <top style="medium">
        <color theme="0" tint="-0.1498764000366222"/>
      </top>
      <bottom style="medium">
        <color theme="0" tint="-0.1498764000366222"/>
      </bottom>
      <diagonal/>
    </border>
    <border>
      <left style="medium">
        <color auto="1"/>
      </left>
      <right style="medium">
        <color rgb="FF000000"/>
      </right>
      <top style="medium">
        <color theme="0" tint="-0.1498764000366222"/>
      </top>
      <bottom style="medium">
        <color theme="0" tint="-0.1498764000366222"/>
      </bottom>
      <diagonal/>
    </border>
    <border>
      <left style="medium">
        <color auto="1"/>
      </left>
      <right style="medium">
        <color auto="1"/>
      </right>
      <top style="medium">
        <color theme="0" tint="-0.1498764000366222"/>
      </top>
      <bottom style="medium">
        <color theme="0" tint="-0.1498764000366222"/>
      </bottom>
      <diagonal/>
    </border>
    <border>
      <left/>
      <right style="medium">
        <color auto="1"/>
      </right>
      <top style="medium">
        <color auto="1"/>
      </top>
      <bottom style="thin">
        <color theme="0" tint="-0.14990691854609822"/>
      </bottom>
      <diagonal/>
    </border>
    <border>
      <left/>
      <right style="medium">
        <color auto="1"/>
      </right>
      <top/>
      <bottom style="thin">
        <color theme="0" tint="-0.14990691854609822"/>
      </bottom>
      <diagonal/>
    </border>
    <border>
      <left/>
      <right style="medium">
        <color auto="1"/>
      </right>
      <top style="thin">
        <color theme="0" tint="-0.14990691854609822"/>
      </top>
      <bottom style="medium">
        <color auto="1"/>
      </bottom>
      <diagonal/>
    </border>
    <border>
      <left/>
      <right style="medium">
        <color theme="0" tint="-0.1498458815271462"/>
      </right>
      <top style="medium">
        <color auto="1"/>
      </top>
      <bottom style="medium">
        <color theme="0" tint="-0.1498458815271462"/>
      </bottom>
      <diagonal/>
    </border>
    <border>
      <left/>
      <right/>
      <top style="medium">
        <color theme="0" tint="-0.1498458815271462"/>
      </top>
      <bottom style="medium">
        <color theme="0" tint="-0.1498458815271462"/>
      </bottom>
      <diagonal/>
    </border>
    <border>
      <left/>
      <right style="medium">
        <color theme="0" tint="-0.1498458815271462"/>
      </right>
      <top style="medium">
        <color theme="0" tint="-0.1498458815271462"/>
      </top>
      <bottom style="medium">
        <color theme="0" tint="-0.1498458815271462"/>
      </bottom>
      <diagonal/>
    </border>
    <border>
      <left style="medium">
        <color auto="1"/>
      </left>
      <right/>
      <top style="medium">
        <color theme="0" tint="-0.1498458815271462"/>
      </top>
      <bottom style="medium">
        <color theme="0" tint="-0.1498458815271462"/>
      </bottom>
      <diagonal/>
    </border>
    <border>
      <left/>
      <right style="medium">
        <color auto="1"/>
      </right>
      <top style="medium">
        <color theme="0" tint="-0.1498458815271462"/>
      </top>
      <bottom style="medium">
        <color theme="0" tint="-0.1498458815271462"/>
      </bottom>
      <diagonal/>
    </border>
    <border>
      <left style="medium">
        <color auto="1"/>
      </left>
      <right/>
      <top style="medium">
        <color theme="0" tint="-0.1498764000366222"/>
      </top>
      <bottom style="medium">
        <color theme="0" tint="-0.1498764000366222"/>
      </bottom>
      <diagonal/>
    </border>
    <border>
      <left/>
      <right style="medium">
        <color auto="1"/>
      </right>
      <top style="medium">
        <color theme="0" tint="-0.1498764000366222"/>
      </top>
      <bottom style="medium">
        <color theme="0" tint="-0.1498764000366222"/>
      </bottom>
      <diagonal/>
    </border>
    <border>
      <left style="medium">
        <color auto="1"/>
      </left>
      <right style="medium">
        <color theme="0" tint="-0.1498764000366222"/>
      </right>
      <top style="medium">
        <color theme="0" tint="-0.1498764000366222"/>
      </top>
      <bottom/>
      <diagonal/>
    </border>
    <border>
      <left style="medium">
        <color auto="1"/>
      </left>
      <right style="medium">
        <color theme="0" tint="-0.1498764000366222"/>
      </right>
      <top/>
      <bottom/>
      <diagonal/>
    </border>
    <border>
      <left style="medium">
        <color auto="1"/>
      </left>
      <right style="medium">
        <color theme="0" tint="-0.1498764000366222"/>
      </right>
      <top/>
      <bottom style="medium">
        <color theme="0" tint="-0.1498764000366222"/>
      </bottom>
      <diagonal/>
    </border>
    <border>
      <left style="medium">
        <color theme="0" tint="-0.1498764000366222"/>
      </left>
      <right style="medium">
        <color rgb="FF000000"/>
      </right>
      <top style="medium">
        <color theme="0" tint="-0.1498764000366222"/>
      </top>
      <bottom style="medium">
        <color theme="0" tint="-0.1498764000366222"/>
      </bottom>
      <diagonal/>
    </border>
    <border>
      <left style="medium">
        <color theme="0" tint="-0.1498458815271462"/>
      </left>
      <right style="medium">
        <color rgb="FF000000"/>
      </right>
      <top style="medium">
        <color theme="0" tint="-0.1498458815271462"/>
      </top>
      <bottom style="medium">
        <color theme="0" tint="-0.1498458815271462"/>
      </bottom>
      <diagonal/>
    </border>
    <border>
      <left/>
      <right style="medium">
        <color theme="0" tint="-0.14993743705557422"/>
      </right>
      <top style="medium">
        <color theme="0" tint="-0.1498458815271462"/>
      </top>
      <bottom style="medium">
        <color theme="0" tint="-0.1498458815271462"/>
      </bottom>
      <diagonal/>
    </border>
    <border>
      <left style="medium">
        <color auto="1"/>
      </left>
      <right style="thin">
        <color theme="0" tint="-0.14993743705557422"/>
      </right>
      <top style="medium">
        <color theme="0" tint="-0.1498458815271462"/>
      </top>
      <bottom style="medium">
        <color theme="0" tint="-0.1498458815271462"/>
      </bottom>
      <diagonal/>
    </border>
    <border>
      <left style="medium">
        <color auto="1"/>
      </left>
      <right style="medium">
        <color theme="0" tint="-0.1498764000366222"/>
      </right>
      <top style="medium">
        <color theme="0" tint="-0.1498764000366222"/>
      </top>
      <bottom style="medium">
        <color auto="1"/>
      </bottom>
      <diagonal/>
    </border>
    <border>
      <left style="medium">
        <color theme="0" tint="-0.1498764000366222"/>
      </left>
      <right style="medium">
        <color auto="1"/>
      </right>
      <top style="medium">
        <color theme="0" tint="-0.1498764000366222"/>
      </top>
      <bottom style="medium">
        <color auto="1"/>
      </bottom>
      <diagonal/>
    </border>
    <border>
      <left style="medium">
        <color auto="1"/>
      </left>
      <right style="medium">
        <color theme="0" tint="-0.1498458815271462"/>
      </right>
      <top style="medium">
        <color theme="0" tint="-0.1498458815271462"/>
      </top>
      <bottom style="medium">
        <color auto="1"/>
      </bottom>
      <diagonal/>
    </border>
    <border>
      <left style="medium">
        <color theme="0" tint="-0.1498458815271462"/>
      </left>
      <right style="medium">
        <color theme="0" tint="-0.1498458815271462"/>
      </right>
      <top style="medium">
        <color theme="0" tint="-0.1498458815271462"/>
      </top>
      <bottom style="medium">
        <color auto="1"/>
      </bottom>
      <diagonal/>
    </border>
    <border>
      <left style="medium">
        <color theme="0" tint="-0.1498458815271462"/>
      </left>
      <right style="medium">
        <color auto="1"/>
      </right>
      <top style="medium">
        <color theme="0" tint="-0.1498458815271462"/>
      </top>
      <bottom style="medium">
        <color auto="1"/>
      </bottom>
      <diagonal/>
    </border>
    <border>
      <left style="medium">
        <color theme="0" tint="-0.1498458815271462"/>
      </left>
      <right/>
      <top style="medium">
        <color theme="0" tint="-0.1498458815271462"/>
      </top>
      <bottom style="medium">
        <color theme="0" tint="-0.1498458815271462"/>
      </bottom>
      <diagonal/>
    </border>
    <border>
      <left/>
      <right style="medium">
        <color theme="0" tint="-0.1498458815271462"/>
      </right>
      <top style="medium">
        <color theme="0" tint="-0.1498764000366222"/>
      </top>
      <bottom style="medium">
        <color theme="0" tint="-0.1498764000366222"/>
      </bottom>
      <diagonal/>
    </border>
    <border>
      <left/>
      <right style="medium">
        <color theme="0" tint="-0.14993743705557422"/>
      </right>
      <top style="medium">
        <color theme="0" tint="-0.1498458815271462"/>
      </top>
      <bottom style="medium">
        <color auto="1"/>
      </bottom>
      <diagonal/>
    </border>
    <border>
      <left/>
      <right style="medium">
        <color theme="0" tint="-0.1498458815271462"/>
      </right>
      <top style="medium">
        <color theme="0" tint="-0.1498458815271462"/>
      </top>
      <bottom style="medium">
        <color auto="1"/>
      </bottom>
      <diagonal/>
    </border>
    <border>
      <left style="medium">
        <color auto="1"/>
      </left>
      <right style="thin">
        <color theme="0" tint="-0.1498458815271462"/>
      </right>
      <top style="medium">
        <color auto="1"/>
      </top>
      <bottom style="thin">
        <color theme="0" tint="-0.1498458815271462"/>
      </bottom>
      <diagonal/>
    </border>
    <border>
      <left style="thin">
        <color theme="0" tint="-0.1498458815271462"/>
      </left>
      <right style="medium">
        <color auto="1"/>
      </right>
      <top style="medium">
        <color auto="1"/>
      </top>
      <bottom style="thin">
        <color theme="0" tint="-0.1498458815271462"/>
      </bottom>
      <diagonal/>
    </border>
    <border>
      <left/>
      <right style="thin">
        <color theme="0" tint="-0.1498458815271462"/>
      </right>
      <top style="medium">
        <color auto="1"/>
      </top>
      <bottom style="thin">
        <color theme="0" tint="-0.1498458815271462"/>
      </bottom>
      <diagonal/>
    </border>
    <border>
      <left style="medium">
        <color auto="1"/>
      </left>
      <right style="thin">
        <color theme="0" tint="-0.1498458815271462"/>
      </right>
      <top style="thin">
        <color theme="0" tint="-0.1498458815271462"/>
      </top>
      <bottom style="medium">
        <color auto="1"/>
      </bottom>
      <diagonal/>
    </border>
    <border>
      <left style="thin">
        <color theme="0" tint="-0.1498458815271462"/>
      </left>
      <right style="medium">
        <color auto="1"/>
      </right>
      <top style="thin">
        <color theme="0" tint="-0.1498458815271462"/>
      </top>
      <bottom style="medium">
        <color auto="1"/>
      </bottom>
      <diagonal/>
    </border>
    <border>
      <left/>
      <right style="thin">
        <color theme="0" tint="-0.1498458815271462"/>
      </right>
      <top style="thin">
        <color theme="0" tint="-0.1498458815271462"/>
      </top>
      <bottom style="medium">
        <color auto="1"/>
      </bottom>
      <diagonal/>
    </border>
    <border>
      <left style="medium">
        <color auto="1"/>
      </left>
      <right style="thin">
        <color theme="0" tint="-0.1498458815271462"/>
      </right>
      <top/>
      <bottom style="thin">
        <color theme="0" tint="-0.1498458815271462"/>
      </bottom>
      <diagonal/>
    </border>
    <border>
      <left style="thin">
        <color theme="0" tint="-0.1498458815271462"/>
      </left>
      <right style="medium">
        <color auto="1"/>
      </right>
      <top/>
      <bottom style="thin">
        <color theme="0" tint="-0.1498458815271462"/>
      </bottom>
      <diagonal/>
    </border>
    <border>
      <left/>
      <right style="thin">
        <color theme="0" tint="-0.1498458815271462"/>
      </right>
      <top/>
      <bottom style="thin">
        <color theme="0" tint="-0.1498458815271462"/>
      </bottom>
      <diagonal/>
    </border>
    <border>
      <left style="medium">
        <color auto="1"/>
      </left>
      <right style="thin">
        <color theme="0" tint="-0.1498458815271462"/>
      </right>
      <top style="thin">
        <color theme="0" tint="-0.1498458815271462"/>
      </top>
      <bottom style="thin">
        <color theme="0" tint="-0.1498458815271462"/>
      </bottom>
      <diagonal/>
    </border>
    <border>
      <left style="thin">
        <color theme="0" tint="-0.1498458815271462"/>
      </left>
      <right style="medium">
        <color auto="1"/>
      </right>
      <top style="thin">
        <color theme="0" tint="-0.1498458815271462"/>
      </top>
      <bottom style="thin">
        <color theme="0" tint="-0.1498458815271462"/>
      </bottom>
      <diagonal/>
    </border>
    <border>
      <left/>
      <right style="thin">
        <color theme="0" tint="-0.1498458815271462"/>
      </right>
      <top style="thin">
        <color theme="0" tint="-0.1498458815271462"/>
      </top>
      <bottom style="thin">
        <color theme="0" tint="-0.1498458815271462"/>
      </bottom>
      <diagonal/>
    </border>
    <border>
      <left/>
      <right style="medium">
        <color rgb="FF000000"/>
      </right>
      <top style="thin">
        <color theme="0" tint="-0.1498458815271462"/>
      </top>
      <bottom style="thin">
        <color theme="0" tint="-0.1498458815271462"/>
      </bottom>
      <diagonal/>
    </border>
    <border>
      <left/>
      <right/>
      <top style="medium">
        <color auto="1"/>
      </top>
      <bottom style="thin">
        <color theme="0" tint="-0.1498458815271462"/>
      </bottom>
      <diagonal/>
    </border>
    <border>
      <left/>
      <right style="medium">
        <color auto="1"/>
      </right>
      <top style="medium">
        <color auto="1"/>
      </top>
      <bottom style="thin">
        <color theme="0" tint="-0.1498458815271462"/>
      </bottom>
      <diagonal/>
    </border>
    <border>
      <left/>
      <right/>
      <top style="thin">
        <color theme="0" tint="-0.1498458815271462"/>
      </top>
      <bottom style="medium">
        <color auto="1"/>
      </bottom>
      <diagonal/>
    </border>
    <border>
      <left style="thin">
        <color theme="0" tint="-0.1498458815271462"/>
      </left>
      <right style="thin">
        <color theme="0" tint="-0.1498458815271462"/>
      </right>
      <top style="thin">
        <color theme="0" tint="-0.1498458815271462"/>
      </top>
      <bottom style="thin">
        <color theme="0" tint="-0.1498458815271462"/>
      </bottom>
      <diagonal/>
    </border>
    <border>
      <left style="medium">
        <color auto="1"/>
      </left>
      <right style="thin">
        <color theme="0" tint="-0.1498458815271462"/>
      </right>
      <top style="thin">
        <color theme="0" tint="-0.1498458815271462"/>
      </top>
      <bottom/>
      <diagonal/>
    </border>
    <border>
      <left style="thin">
        <color theme="0" tint="-0.1498458815271462"/>
      </left>
      <right style="medium">
        <color auto="1"/>
      </right>
      <top style="thin">
        <color theme="0" tint="-0.1498458815271462"/>
      </top>
      <bottom/>
      <diagonal/>
    </border>
    <border>
      <left style="medium">
        <color auto="1"/>
      </left>
      <right style="thin">
        <color theme="0" tint="-0.1498458815271462"/>
      </right>
      <top/>
      <bottom/>
      <diagonal/>
    </border>
    <border>
      <left style="thin">
        <color theme="0" tint="-0.1498458815271462"/>
      </left>
      <right style="medium">
        <color auto="1"/>
      </right>
      <top/>
      <bottom/>
      <diagonal/>
    </border>
    <border>
      <left/>
      <right style="medium">
        <color rgb="FF000000"/>
      </right>
      <top style="thin">
        <color theme="0" tint="-0.1498458815271462"/>
      </top>
      <bottom style="medium">
        <color auto="1"/>
      </bottom>
      <diagonal/>
    </border>
    <border>
      <left style="thin">
        <color theme="0" tint="-0.1498458815271462"/>
      </left>
      <right/>
      <top/>
      <bottom style="thin">
        <color theme="0" tint="-0.1498458815271462"/>
      </bottom>
      <diagonal/>
    </border>
    <border>
      <left style="thin">
        <color theme="0" tint="-0.1498458815271462"/>
      </left>
      <right style="thin">
        <color theme="0" tint="-0.1498458815271462"/>
      </right>
      <top/>
      <bottom style="thin">
        <color theme="0" tint="-0.1498458815271462"/>
      </bottom>
      <diagonal/>
    </border>
    <border>
      <left/>
      <right style="medium">
        <color auto="1"/>
      </right>
      <top/>
      <bottom style="thin">
        <color theme="0" tint="-0.1498458815271462"/>
      </bottom>
      <diagonal/>
    </border>
    <border>
      <left style="thin">
        <color theme="0" tint="-0.1498458815271462"/>
      </left>
      <right/>
      <top style="thin">
        <color theme="0" tint="-0.1498458815271462"/>
      </top>
      <bottom style="thin">
        <color theme="0" tint="-0.1498458815271462"/>
      </bottom>
      <diagonal/>
    </border>
    <border>
      <left/>
      <right style="medium">
        <color auto="1"/>
      </right>
      <top style="thin">
        <color theme="0" tint="-0.1498458815271462"/>
      </top>
      <bottom style="thin">
        <color theme="0" tint="-0.1498458815271462"/>
      </bottom>
      <diagonal/>
    </border>
    <border>
      <left style="thin">
        <color theme="0" tint="-0.1498458815271462"/>
      </left>
      <right/>
      <top style="thin">
        <color theme="0" tint="-0.1498458815271462"/>
      </top>
      <bottom/>
      <diagonal/>
    </border>
    <border>
      <left style="thin">
        <color theme="0" tint="-0.1498458815271462"/>
      </left>
      <right style="thin">
        <color theme="0" tint="-0.1498458815271462"/>
      </right>
      <top style="thin">
        <color theme="0" tint="-0.1498458815271462"/>
      </top>
      <bottom/>
      <diagonal/>
    </border>
    <border>
      <left/>
      <right style="medium">
        <color auto="1"/>
      </right>
      <top style="thin">
        <color theme="0" tint="-0.1498458815271462"/>
      </top>
      <bottom/>
      <diagonal/>
    </border>
    <border>
      <left style="thin">
        <color theme="0" tint="-0.1498458815271462"/>
      </left>
      <right/>
      <top/>
      <bottom/>
      <diagonal/>
    </border>
    <border>
      <left style="thin">
        <color theme="0" tint="-0.1498458815271462"/>
      </left>
      <right style="thin">
        <color theme="0" tint="-0.1498458815271462"/>
      </right>
      <top/>
      <bottom/>
      <diagonal/>
    </border>
    <border>
      <left/>
      <right/>
      <top style="thin">
        <color theme="0" tint="-0.1498458815271462"/>
      </top>
      <bottom style="thin">
        <color theme="0" tint="-0.1498458815271462"/>
      </bottom>
      <diagonal/>
    </border>
    <border>
      <left style="thin">
        <color theme="0" tint="-0.1498458815271462"/>
      </left>
      <right style="thin">
        <color theme="0" tint="-0.1498458815271462"/>
      </right>
      <top style="thin">
        <color theme="0" tint="-0.1498458815271462"/>
      </top>
      <bottom style="medium">
        <color auto="1"/>
      </bottom>
      <diagonal/>
    </border>
    <border>
      <left/>
      <right style="medium">
        <color auto="1"/>
      </right>
      <top style="thin">
        <color theme="0" tint="-0.1498458815271462"/>
      </top>
      <bottom style="medium">
        <color auto="1"/>
      </bottom>
      <diagonal/>
    </border>
    <border>
      <left style="medium">
        <color auto="1"/>
      </left>
      <right/>
      <top style="medium">
        <color auto="1"/>
      </top>
      <bottom style="thin">
        <color theme="0" tint="-0.1498458815271462"/>
      </bottom>
      <diagonal/>
    </border>
    <border>
      <left style="medium">
        <color auto="1"/>
      </left>
      <right style="thin">
        <color theme="0" tint="-0.14993743705557422"/>
      </right>
      <top style="medium">
        <color auto="1"/>
      </top>
      <bottom style="thin">
        <color theme="0" tint="-0.14993743705557422"/>
      </bottom>
      <diagonal/>
    </border>
    <border>
      <left style="thin">
        <color theme="0" tint="-0.14993743705557422"/>
      </left>
      <right style="medium">
        <color auto="1"/>
      </right>
      <top style="medium">
        <color auto="1"/>
      </top>
      <bottom style="thin">
        <color theme="0" tint="-0.14993743705557422"/>
      </bottom>
      <diagonal/>
    </border>
    <border>
      <left style="medium">
        <color auto="1"/>
      </left>
      <right style="thin">
        <color theme="0" tint="-0.14993743705557422"/>
      </right>
      <top/>
      <bottom style="thin">
        <color theme="0" tint="-0.14993743705557422"/>
      </bottom>
      <diagonal/>
    </border>
    <border>
      <left style="thin">
        <color theme="0" tint="-0.14993743705557422"/>
      </left>
      <right style="medium">
        <color auto="1"/>
      </right>
      <top/>
      <bottom style="thin">
        <color theme="0" tint="-0.14993743705557422"/>
      </bottom>
      <diagonal/>
    </border>
    <border>
      <left/>
      <right/>
      <top/>
      <bottom style="thin">
        <color theme="0" tint="-0.1498458815271462"/>
      </bottom>
      <diagonal/>
    </border>
    <border>
      <left style="medium">
        <color auto="1"/>
      </left>
      <right style="thin">
        <color theme="0" tint="-0.14993743705557422"/>
      </right>
      <top style="thin">
        <color theme="0" tint="-0.14993743705557422"/>
      </top>
      <bottom style="thin">
        <color theme="0" tint="-0.14993743705557422"/>
      </bottom>
      <diagonal/>
    </border>
    <border>
      <left style="thin">
        <color theme="0" tint="-0.14993743705557422"/>
      </left>
      <right style="medium">
        <color auto="1"/>
      </right>
      <top style="thin">
        <color theme="0" tint="-0.14993743705557422"/>
      </top>
      <bottom style="thin">
        <color theme="0" tint="-0.14993743705557422"/>
      </bottom>
      <diagonal/>
    </border>
    <border>
      <left style="medium">
        <color auto="1"/>
      </left>
      <right style="thin">
        <color theme="0" tint="-0.14993743705557422"/>
      </right>
      <top style="thin">
        <color theme="0" tint="-0.1498458815271462"/>
      </top>
      <bottom style="thin">
        <color theme="0" tint="-0.14993743705557422"/>
      </bottom>
      <diagonal/>
    </border>
    <border>
      <left style="medium">
        <color auto="1"/>
      </left>
      <right style="thin">
        <color theme="0" tint="-0.14993743705557422"/>
      </right>
      <top style="thin">
        <color theme="0" tint="-0.14993743705557422"/>
      </top>
      <bottom style="thin">
        <color theme="0" tint="-0.1498458815271462"/>
      </bottom>
      <diagonal/>
    </border>
    <border>
      <left style="thin">
        <color theme="0" tint="-0.14993743705557422"/>
      </left>
      <right style="medium">
        <color auto="1"/>
      </right>
      <top style="thin">
        <color theme="0" tint="-0.14993743705557422"/>
      </top>
      <bottom style="thin">
        <color theme="0" tint="-0.1498458815271462"/>
      </bottom>
      <diagonal/>
    </border>
    <border>
      <left style="medium">
        <color auto="1"/>
      </left>
      <right style="thin">
        <color theme="0" tint="-0.14993743705557422"/>
      </right>
      <top style="thin">
        <color theme="0" tint="-0.14993743705557422"/>
      </top>
      <bottom style="medium">
        <color auto="1"/>
      </bottom>
      <diagonal/>
    </border>
    <border>
      <left style="thin">
        <color theme="0" tint="-0.14993743705557422"/>
      </left>
      <right style="medium">
        <color auto="1"/>
      </right>
      <top style="thin">
        <color theme="0" tint="-0.14993743705557422"/>
      </top>
      <bottom style="medium">
        <color auto="1"/>
      </bottom>
      <diagonal/>
    </border>
    <border>
      <left style="thin">
        <color theme="0" tint="-0.14993743705557422"/>
      </left>
      <right style="thin">
        <color theme="0" tint="-0.14993743705557422"/>
      </right>
      <top style="thin">
        <color theme="0" tint="-0.1498458815271462"/>
      </top>
      <bottom style="thin">
        <color theme="0" tint="-0.14993743705557422"/>
      </bottom>
      <diagonal/>
    </border>
    <border>
      <left style="thin">
        <color theme="0" tint="-0.14993743705557422"/>
      </left>
      <right style="medium">
        <color auto="1"/>
      </right>
      <top style="thin">
        <color theme="0" tint="-0.1498458815271462"/>
      </top>
      <bottom style="thin">
        <color theme="0" tint="-0.14993743705557422"/>
      </bottom>
      <diagonal/>
    </border>
    <border>
      <left style="thin">
        <color theme="0" tint="-0.14993743705557422"/>
      </left>
      <right style="thin">
        <color theme="0" tint="-0.14993743705557422"/>
      </right>
      <top style="thin">
        <color theme="0" tint="-0.14993743705557422"/>
      </top>
      <bottom style="thin">
        <color theme="0" tint="-0.14993743705557422"/>
      </bottom>
      <diagonal/>
    </border>
    <border>
      <left style="thin">
        <color theme="0" tint="-0.14993743705557422"/>
      </left>
      <right style="thin">
        <color theme="0" tint="-0.14993743705557422"/>
      </right>
      <top style="thin">
        <color theme="0" tint="-0.14993743705557422"/>
      </top>
      <bottom style="thin">
        <color theme="0" tint="-0.1498458815271462"/>
      </bottom>
      <diagonal/>
    </border>
    <border>
      <left style="medium">
        <color auto="1"/>
      </left>
      <right style="thin">
        <color theme="0" tint="-0.14993743705557422"/>
      </right>
      <top style="thin">
        <color theme="0" tint="-0.1498458815271462"/>
      </top>
      <bottom style="thin">
        <color theme="0" tint="-0.1498458815271462"/>
      </bottom>
      <diagonal/>
    </border>
    <border>
      <left/>
      <right style="thin">
        <color theme="0" tint="-0.14993743705557422"/>
      </right>
      <top style="thin">
        <color theme="0" tint="-0.1498458815271462"/>
      </top>
      <bottom style="thin">
        <color theme="0" tint="-0.14993743705557422"/>
      </bottom>
      <diagonal/>
    </border>
    <border>
      <left/>
      <right style="thin">
        <color theme="0" tint="-0.14993743705557422"/>
      </right>
      <top style="thin">
        <color theme="0" tint="-0.14993743705557422"/>
      </top>
      <bottom style="thin">
        <color theme="0" tint="-0.14993743705557422"/>
      </bottom>
      <diagonal/>
    </border>
    <border>
      <left style="medium">
        <color auto="1"/>
      </left>
      <right style="thin">
        <color theme="0" tint="-0.14993743705557422"/>
      </right>
      <top style="thin">
        <color theme="0" tint="-0.14993743705557422"/>
      </top>
      <bottom/>
      <diagonal/>
    </border>
    <border>
      <left/>
      <right style="thin">
        <color theme="0" tint="-0.14993743705557422"/>
      </right>
      <top style="thin">
        <color theme="0" tint="-0.14993743705557422"/>
      </top>
      <bottom/>
      <diagonal/>
    </border>
    <border>
      <left/>
      <right style="thin">
        <color theme="0" tint="-0.14993743705557422"/>
      </right>
      <top style="thin">
        <color theme="0" tint="-0.14993743705557422"/>
      </top>
      <bottom style="thin">
        <color theme="0" tint="-0.1498458815271462"/>
      </bottom>
      <diagonal/>
    </border>
    <border>
      <left style="thin">
        <color theme="0" tint="-0.14993743705557422"/>
      </left>
      <right style="thin">
        <color theme="0" tint="-0.14993743705557422"/>
      </right>
      <top style="thin">
        <color theme="0" tint="-0.14993743705557422"/>
      </top>
      <bottom/>
      <diagonal/>
    </border>
    <border>
      <left style="medium">
        <color auto="1"/>
      </left>
      <right style="medium">
        <color theme="0" tint="-0.14999847407452621"/>
      </right>
      <top style="medium">
        <color auto="1"/>
      </top>
      <bottom style="medium">
        <color theme="0" tint="-0.1498458815271462"/>
      </bottom>
      <diagonal/>
    </border>
    <border>
      <left style="medium">
        <color auto="1"/>
      </left>
      <right style="medium">
        <color theme="0" tint="-0.14999847407452621"/>
      </right>
      <top style="medium">
        <color theme="0" tint="-0.1498458815271462"/>
      </top>
      <bottom style="medium">
        <color theme="0" tint="-0.1498458815271462"/>
      </bottom>
      <diagonal/>
    </border>
    <border>
      <left style="medium">
        <color theme="0" tint="-0.14999847407452621"/>
      </left>
      <right style="medium">
        <color theme="0" tint="-0.14999847407452621"/>
      </right>
      <top style="medium">
        <color auto="1"/>
      </top>
      <bottom style="medium">
        <color theme="0" tint="-0.1498458815271462"/>
      </bottom>
      <diagonal/>
    </border>
    <border>
      <left style="medium">
        <color theme="0" tint="-0.14999847407452621"/>
      </left>
      <right style="medium">
        <color auto="1"/>
      </right>
      <top style="medium">
        <color auto="1"/>
      </top>
      <bottom style="medium">
        <color theme="0" tint="-0.1498458815271462"/>
      </bottom>
      <diagonal/>
    </border>
    <border>
      <left/>
      <right style="medium">
        <color theme="0" tint="-0.14999847407452621"/>
      </right>
      <top style="medium">
        <color auto="1"/>
      </top>
      <bottom style="medium">
        <color theme="0" tint="-0.1498458815271462"/>
      </bottom>
      <diagonal/>
    </border>
    <border>
      <left/>
      <right style="medium">
        <color theme="0" tint="-0.14999847407452621"/>
      </right>
      <top style="medium">
        <color auto="1"/>
      </top>
      <bottom style="medium">
        <color theme="0" tint="-0.1498764000366222"/>
      </bottom>
      <diagonal/>
    </border>
    <border>
      <left style="medium">
        <color theme="0" tint="-0.14999847407452621"/>
      </left>
      <right style="medium">
        <color theme="0" tint="-0.14999847407452621"/>
      </right>
      <top style="medium">
        <color theme="0" tint="-0.1498458815271462"/>
      </top>
      <bottom style="medium">
        <color theme="0" tint="-0.1498458815271462"/>
      </bottom>
      <diagonal/>
    </border>
    <border>
      <left style="medium">
        <color theme="0" tint="-0.14999847407452621"/>
      </left>
      <right style="medium">
        <color auto="1"/>
      </right>
      <top style="medium">
        <color theme="0" tint="-0.1498458815271462"/>
      </top>
      <bottom style="medium">
        <color theme="0" tint="-0.1498458815271462"/>
      </bottom>
      <diagonal/>
    </border>
    <border>
      <left/>
      <right style="medium">
        <color theme="0" tint="-0.14999847407452621"/>
      </right>
      <top style="medium">
        <color theme="0" tint="-0.1498458815271462"/>
      </top>
      <bottom style="medium">
        <color theme="0" tint="-0.1498458815271462"/>
      </bottom>
      <diagonal/>
    </border>
    <border>
      <left/>
      <right style="medium">
        <color theme="0" tint="-0.14999847407452621"/>
      </right>
      <top style="medium">
        <color theme="0" tint="-0.1498764000366222"/>
      </top>
      <bottom style="medium">
        <color theme="0" tint="-0.1498764000366222"/>
      </bottom>
      <diagonal/>
    </border>
    <border>
      <left style="medium">
        <color theme="0" tint="-0.14999847407452621"/>
      </left>
      <right style="medium">
        <color theme="0" tint="-0.14999847407452621"/>
      </right>
      <top style="medium">
        <color auto="1"/>
      </top>
      <bottom style="medium">
        <color theme="0" tint="-0.1498764000366222"/>
      </bottom>
      <diagonal/>
    </border>
    <border>
      <left style="medium">
        <color theme="0" tint="-0.14999847407452621"/>
      </left>
      <right style="medium">
        <color auto="1"/>
      </right>
      <top style="medium">
        <color auto="1"/>
      </top>
      <bottom style="medium">
        <color theme="0" tint="-0.1498764000366222"/>
      </bottom>
      <diagonal/>
    </border>
    <border>
      <left style="medium">
        <color theme="0" tint="-0.14999847407452621"/>
      </left>
      <right/>
      <top style="medium">
        <color theme="0" tint="-0.1498764000366222"/>
      </top>
      <bottom style="medium">
        <color theme="0" tint="-0.1498764000366222"/>
      </bottom>
      <diagonal/>
    </border>
    <border>
      <left style="medium">
        <color theme="0" tint="-0.14999847407452621"/>
      </left>
      <right style="medium">
        <color theme="0" tint="-0.14999847407452621"/>
      </right>
      <top style="medium">
        <color theme="0" tint="-0.1498764000366222"/>
      </top>
      <bottom style="medium">
        <color theme="0" tint="-0.1498764000366222"/>
      </bottom>
      <diagonal/>
    </border>
    <border>
      <left style="medium">
        <color theme="0" tint="-0.14999847407452621"/>
      </left>
      <right style="medium">
        <color auto="1"/>
      </right>
      <top style="medium">
        <color theme="0" tint="-0.1498764000366222"/>
      </top>
      <bottom style="medium">
        <color theme="0" tint="-0.1498764000366222"/>
      </bottom>
      <diagonal/>
    </border>
    <border>
      <left style="medium">
        <color auto="1"/>
      </left>
      <right/>
      <top style="medium">
        <color theme="0" tint="-0.1498764000366222"/>
      </top>
      <bottom style="medium">
        <color auto="1"/>
      </bottom>
      <diagonal/>
    </border>
    <border>
      <left/>
      <right style="medium">
        <color auto="1"/>
      </right>
      <top style="medium">
        <color theme="0" tint="-0.1498764000366222"/>
      </top>
      <bottom style="medium">
        <color auto="1"/>
      </bottom>
      <diagonal/>
    </border>
    <border>
      <left style="medium">
        <color auto="1"/>
      </left>
      <right style="medium">
        <color theme="0" tint="-0.14999847407452621"/>
      </right>
      <top style="medium">
        <color theme="0" tint="-0.1498458815271462"/>
      </top>
      <bottom style="medium">
        <color auto="1"/>
      </bottom>
      <diagonal/>
    </border>
    <border>
      <left style="medium">
        <color theme="0" tint="-0.14999847407452621"/>
      </left>
      <right style="medium">
        <color theme="0" tint="-0.14999847407452621"/>
      </right>
      <top style="medium">
        <color theme="0" tint="-0.1498458815271462"/>
      </top>
      <bottom style="medium">
        <color auto="1"/>
      </bottom>
      <diagonal/>
    </border>
    <border>
      <left style="medium">
        <color theme="0" tint="-0.14999847407452621"/>
      </left>
      <right style="medium">
        <color auto="1"/>
      </right>
      <top style="medium">
        <color theme="0" tint="-0.1498458815271462"/>
      </top>
      <bottom style="medium">
        <color auto="1"/>
      </bottom>
      <diagonal/>
    </border>
    <border>
      <left/>
      <right style="medium">
        <color theme="0" tint="-0.14999847407452621"/>
      </right>
      <top style="medium">
        <color theme="0" tint="-0.1498458815271462"/>
      </top>
      <bottom style="medium">
        <color auto="1"/>
      </bottom>
      <diagonal/>
    </border>
    <border>
      <left/>
      <right style="medium">
        <color theme="0" tint="-0.14999847407452621"/>
      </right>
      <top style="medium">
        <color theme="0" tint="-0.1498764000366222"/>
      </top>
      <bottom style="medium">
        <color auto="1"/>
      </bottom>
      <diagonal/>
    </border>
    <border>
      <left style="medium">
        <color theme="0" tint="-0.14999847407452621"/>
      </left>
      <right style="medium">
        <color theme="0" tint="-0.14999847407452621"/>
      </right>
      <top style="medium">
        <color theme="0" tint="-0.1498764000366222"/>
      </top>
      <bottom style="medium">
        <color auto="1"/>
      </bottom>
      <diagonal/>
    </border>
    <border>
      <left style="medium">
        <color theme="0" tint="-0.14999847407452621"/>
      </left>
      <right style="medium">
        <color auto="1"/>
      </right>
      <top style="medium">
        <color theme="0" tint="-0.1498764000366222"/>
      </top>
      <bottom style="medium">
        <color auto="1"/>
      </bottom>
      <diagonal/>
    </border>
    <border>
      <left style="thin">
        <color theme="0" tint="-0.1498458815271462"/>
      </left>
      <right/>
      <top style="medium">
        <color auto="1"/>
      </top>
      <bottom style="thin">
        <color theme="0" tint="-0.1498458815271462"/>
      </bottom>
      <diagonal/>
    </border>
    <border>
      <left style="medium">
        <color auto="1"/>
      </left>
      <right style="medium">
        <color auto="1"/>
      </right>
      <top style="medium">
        <color auto="1"/>
      </top>
      <bottom style="medium">
        <color auto="1"/>
      </bottom>
      <diagonal/>
    </border>
    <border>
      <left style="thin">
        <color theme="0" tint="-0.1498458815271462"/>
      </left>
      <right style="thin">
        <color theme="0" tint="-0.1498458815271462"/>
      </right>
      <top style="medium">
        <color auto="1"/>
      </top>
      <bottom style="thin">
        <color theme="0" tint="-0.1498458815271462"/>
      </bottom>
      <diagonal/>
    </border>
    <border>
      <left style="medium">
        <color auto="1"/>
      </left>
      <right/>
      <top style="thin">
        <color theme="0" tint="-0.1498458815271462"/>
      </top>
      <bottom style="medium">
        <color auto="1"/>
      </bottom>
      <diagonal/>
    </border>
    <border>
      <left style="medium">
        <color auto="1"/>
      </left>
      <right style="medium">
        <color auto="1"/>
      </right>
      <top style="medium">
        <color auto="1"/>
      </top>
      <bottom style="thin">
        <color theme="0" tint="-0.1498458815271462"/>
      </bottom>
      <diagonal/>
    </border>
    <border>
      <left style="thin">
        <color theme="0" tint="-0.1498458815271462"/>
      </left>
      <right style="thin">
        <color theme="0" tint="-0.14996795556505021"/>
      </right>
      <top style="medium">
        <color auto="1"/>
      </top>
      <bottom style="thin">
        <color theme="0" tint="-0.1498458815271462"/>
      </bottom>
      <diagonal/>
    </border>
    <border>
      <left style="thin">
        <color theme="0" tint="-0.1498458815271462"/>
      </left>
      <right style="thin">
        <color theme="0" tint="-0.14996795556505021"/>
      </right>
      <top style="thin">
        <color theme="0" tint="-0.1498458815271462"/>
      </top>
      <bottom style="thin">
        <color theme="0" tint="-0.1498458815271462"/>
      </bottom>
      <diagonal/>
    </border>
    <border>
      <left/>
      <right style="thin">
        <color theme="0" tint="-0.14996795556505021"/>
      </right>
      <top style="thin">
        <color theme="0" tint="-0.1498458815271462"/>
      </top>
      <bottom style="medium">
        <color auto="1"/>
      </bottom>
      <diagonal/>
    </border>
    <border>
      <left style="medium">
        <color auto="1"/>
      </left>
      <right style="thin">
        <color theme="0" tint="-0.14996795556505021"/>
      </right>
      <top style="thin">
        <color theme="0" tint="-0.1498458815271462"/>
      </top>
      <bottom style="medium">
        <color auto="1"/>
      </bottom>
      <diagonal/>
    </border>
    <border>
      <left style="medium">
        <color auto="1"/>
      </left>
      <right style="thin">
        <color theme="0" tint="-0.14996795556505021"/>
      </right>
      <top/>
      <bottom style="thin">
        <color theme="0" tint="-0.1498458815271462"/>
      </bottom>
      <diagonal/>
    </border>
    <border>
      <left style="medium">
        <color auto="1"/>
      </left>
      <right style="thin">
        <color theme="0" tint="-0.14996795556505021"/>
      </right>
      <top style="thin">
        <color theme="0" tint="-0.1498458815271462"/>
      </top>
      <bottom style="thin">
        <color theme="0" tint="-0.1498458815271462"/>
      </bottom>
      <diagonal/>
    </border>
    <border>
      <left style="medium">
        <color auto="1"/>
      </left>
      <right style="medium">
        <color auto="1"/>
      </right>
      <top style="thin">
        <color theme="0" tint="-0.1498458815271462"/>
      </top>
      <bottom style="medium">
        <color auto="1"/>
      </bottom>
      <diagonal/>
    </border>
    <border>
      <left style="medium">
        <color auto="1"/>
      </left>
      <right style="medium">
        <color auto="1"/>
      </right>
      <top style="medium">
        <color auto="1"/>
      </top>
      <bottom/>
      <diagonal/>
    </border>
    <border>
      <left style="medium">
        <color auto="1"/>
      </left>
      <right style="medium">
        <color auto="1"/>
      </right>
      <top/>
      <bottom style="medium">
        <color auto="1"/>
      </bottom>
      <diagonal/>
    </border>
    <border>
      <left style="thin">
        <color theme="0" tint="-0.1498458815271462"/>
      </left>
      <right/>
      <top style="thin">
        <color theme="0" tint="-0.1498458815271462"/>
      </top>
      <bottom style="medium">
        <color auto="1"/>
      </bottom>
      <diagonal/>
    </border>
    <border>
      <left style="thin">
        <color theme="0" tint="-0.14993743705557422"/>
      </left>
      <right/>
      <top style="thin">
        <color theme="0" tint="-0.1498458815271462"/>
      </top>
      <bottom style="thin">
        <color theme="0" tint="-0.14993743705557422"/>
      </bottom>
      <diagonal/>
    </border>
    <border>
      <left/>
      <right/>
      <top style="thin">
        <color theme="0" tint="-0.1498458815271462"/>
      </top>
      <bottom/>
      <diagonal/>
    </border>
    <border>
      <left style="thin">
        <color theme="0" tint="-0.14993743705557422"/>
      </left>
      <right/>
      <top style="thin">
        <color theme="0" tint="-0.14993743705557422"/>
      </top>
      <bottom style="thin">
        <color theme="0" tint="-0.14993743705557422"/>
      </bottom>
      <diagonal/>
    </border>
    <border>
      <left style="thin">
        <color theme="0" tint="-0.14993743705557422"/>
      </left>
      <right/>
      <top style="thin">
        <color theme="0" tint="-0.14993743705557422"/>
      </top>
      <bottom style="thin">
        <color theme="0" tint="-0.1498458815271462"/>
      </bottom>
      <diagonal/>
    </border>
    <border>
      <left style="medium">
        <color auto="1"/>
      </left>
      <right style="medium">
        <color auto="1"/>
      </right>
      <top/>
      <bottom/>
      <diagonal/>
    </border>
    <border>
      <left/>
      <right style="thin">
        <color theme="0" tint="-0.1498458815271462"/>
      </right>
      <top style="thin">
        <color theme="0" tint="-0.1498458815271462"/>
      </top>
      <bottom/>
      <diagonal/>
    </border>
  </borders>
  <cellStyleXfs count="4">
    <xf numFmtId="0" fontId="0" fillId="0" borderId="0">
      <alignment vertical="center"/>
    </xf>
    <xf numFmtId="43" fontId="55" fillId="0" borderId="0" applyFont="0" applyFill="0" applyBorder="0" applyAlignment="0" applyProtection="0">
      <alignment vertical="center"/>
    </xf>
    <xf numFmtId="9" fontId="55" fillId="0" borderId="0" applyFont="0" applyFill="0" applyBorder="0" applyAlignment="0" applyProtection="0">
      <alignment vertical="center"/>
    </xf>
    <xf numFmtId="0" fontId="56" fillId="0" borderId="0" applyNumberFormat="0" applyFill="0" applyBorder="0" applyAlignment="0" applyProtection="0">
      <alignment vertical="center"/>
    </xf>
  </cellStyleXfs>
  <cellXfs count="1629">
    <xf numFmtId="0" fontId="0" fillId="0" borderId="0" xfId="0">
      <alignment vertical="center"/>
    </xf>
    <xf numFmtId="0" fontId="1" fillId="0" borderId="0" xfId="0" applyFont="1" applyAlignment="1"/>
    <xf numFmtId="0" fontId="2" fillId="0" borderId="0" xfId="0" applyFont="1" applyAlignment="1"/>
    <xf numFmtId="0" fontId="3" fillId="0" borderId="0" xfId="0" applyFont="1" applyAlignment="1"/>
    <xf numFmtId="0" fontId="4" fillId="0" borderId="0" xfId="0" applyFont="1" applyAlignment="1"/>
    <xf numFmtId="0" fontId="0" fillId="2" borderId="0" xfId="0" applyFill="1" applyAlignment="1"/>
    <xf numFmtId="0" fontId="0" fillId="0" borderId="0" xfId="0" applyAlignment="1">
      <alignment horizontal="center" vertical="center" wrapText="1"/>
    </xf>
    <xf numFmtId="0" fontId="0" fillId="0" borderId="0" xfId="0" applyAlignment="1">
      <alignment horizontal="left" vertical="center" wrapText="1"/>
    </xf>
    <xf numFmtId="0" fontId="0" fillId="0" borderId="0" xfId="0" applyAlignment="1">
      <alignment vertical="center" wrapText="1"/>
    </xf>
    <xf numFmtId="0" fontId="0" fillId="0" borderId="0" xfId="0" applyAlignment="1"/>
    <xf numFmtId="0" fontId="5" fillId="0" borderId="0" xfId="0" applyFont="1" applyAlignment="1">
      <alignment vertical="center" wrapText="1"/>
    </xf>
    <xf numFmtId="41" fontId="5" fillId="0" borderId="0" xfId="0" applyNumberFormat="1" applyFont="1" applyAlignment="1">
      <alignment vertical="center" wrapText="1"/>
    </xf>
    <xf numFmtId="176" fontId="0" fillId="0" borderId="0" xfId="0" applyNumberFormat="1" applyAlignment="1">
      <alignment horizontal="center" vertical="center"/>
    </xf>
    <xf numFmtId="0" fontId="0" fillId="0" borderId="0" xfId="0" applyAlignment="1">
      <alignment horizontal="center" vertical="center"/>
    </xf>
    <xf numFmtId="0" fontId="1" fillId="0" borderId="2" xfId="0" applyFont="1" applyBorder="1" applyAlignment="1">
      <alignment horizontal="center" vertical="center"/>
    </xf>
    <xf numFmtId="0" fontId="1" fillId="0" borderId="2" xfId="0" applyFont="1" applyBorder="1" applyAlignment="1">
      <alignment horizontal="center" vertical="center" wrapText="1"/>
    </xf>
    <xf numFmtId="0" fontId="1" fillId="0" borderId="5" xfId="0" applyFont="1" applyBorder="1" applyAlignment="1">
      <alignment vertical="center" wrapText="1"/>
    </xf>
    <xf numFmtId="0" fontId="6" fillId="3" borderId="5" xfId="0" applyFont="1" applyFill="1" applyBorder="1" applyAlignment="1">
      <alignment horizontal="left" vertical="center"/>
    </xf>
    <xf numFmtId="0" fontId="7" fillId="3" borderId="0" xfId="0" applyFont="1" applyFill="1" applyAlignment="1">
      <alignment horizontal="left" vertical="center" wrapText="1"/>
    </xf>
    <xf numFmtId="0" fontId="7" fillId="3" borderId="0" xfId="0" applyFont="1" applyFill="1" applyAlignment="1">
      <alignment vertical="center" wrapText="1"/>
    </xf>
    <xf numFmtId="0" fontId="7" fillId="3" borderId="0" xfId="0" applyFont="1" applyFill="1" applyAlignment="1"/>
    <xf numFmtId="0" fontId="7" fillId="3" borderId="5" xfId="0" applyFont="1" applyFill="1" applyBorder="1" applyAlignment="1">
      <alignment vertical="center" wrapText="1"/>
    </xf>
    <xf numFmtId="0" fontId="7" fillId="3" borderId="5" xfId="0" applyFont="1" applyFill="1" applyBorder="1" applyAlignment="1"/>
    <xf numFmtId="0" fontId="2" fillId="0" borderId="5" xfId="0" applyFont="1" applyBorder="1" applyAlignment="1">
      <alignment horizontal="center" vertical="center" wrapText="1"/>
    </xf>
    <xf numFmtId="0" fontId="2" fillId="0" borderId="0" xfId="0" applyFont="1" applyAlignment="1">
      <alignment horizontal="left" wrapText="1"/>
    </xf>
    <xf numFmtId="0" fontId="2" fillId="0" borderId="0" xfId="0" applyFont="1" applyAlignment="1">
      <alignment horizontal="left" vertical="center" wrapText="1"/>
    </xf>
    <xf numFmtId="0" fontId="2" fillId="0" borderId="5" xfId="0" applyFont="1" applyBorder="1" applyAlignment="1">
      <alignment vertical="center" wrapText="1"/>
    </xf>
    <xf numFmtId="0" fontId="2" fillId="0" borderId="5" xfId="0" applyFont="1" applyBorder="1" applyAlignment="1"/>
    <xf numFmtId="0" fontId="2" fillId="0" borderId="5" xfId="0" applyFont="1" applyBorder="1" applyAlignment="1">
      <alignment horizontal="left" vertical="center" wrapText="1"/>
    </xf>
    <xf numFmtId="0" fontId="8" fillId="0" borderId="5" xfId="0" applyFont="1" applyBorder="1" applyAlignment="1">
      <alignment vertical="center" wrapText="1"/>
    </xf>
    <xf numFmtId="0" fontId="2" fillId="4" borderId="5" xfId="0" applyFont="1" applyFill="1" applyBorder="1" applyAlignment="1">
      <alignment vertical="center" wrapText="1"/>
    </xf>
    <xf numFmtId="0" fontId="2" fillId="0" borderId="0" xfId="0" applyFont="1" applyAlignment="1">
      <alignment horizontal="left" vertical="top" wrapText="1"/>
    </xf>
    <xf numFmtId="0" fontId="2" fillId="0" borderId="0" xfId="0" applyFont="1" applyAlignment="1">
      <alignment vertical="center" wrapText="1"/>
    </xf>
    <xf numFmtId="0" fontId="2" fillId="0" borderId="5" xfId="0" applyFont="1" applyBorder="1" applyAlignment="1">
      <alignment vertical="top" wrapText="1"/>
    </xf>
    <xf numFmtId="0" fontId="2" fillId="0" borderId="5" xfId="0" applyFont="1" applyBorder="1">
      <alignment vertical="center"/>
    </xf>
    <xf numFmtId="0" fontId="0" fillId="5" borderId="0" xfId="0" applyFill="1" applyAlignment="1">
      <alignment horizontal="center" vertical="center"/>
    </xf>
    <xf numFmtId="0" fontId="0" fillId="5" borderId="0" xfId="0" applyFill="1" applyAlignment="1">
      <alignment vertical="center" wrapText="1"/>
    </xf>
    <xf numFmtId="0" fontId="0" fillId="5" borderId="0" xfId="0" applyFill="1" applyAlignment="1"/>
    <xf numFmtId="0" fontId="0" fillId="5" borderId="5" xfId="0" applyFill="1" applyBorder="1" applyAlignment="1">
      <alignment vertical="center" wrapText="1"/>
    </xf>
    <xf numFmtId="0" fontId="0" fillId="5" borderId="5" xfId="0" applyFill="1" applyBorder="1" applyAlignment="1"/>
    <xf numFmtId="0" fontId="1" fillId="0" borderId="5" xfId="0" applyFont="1" applyBorder="1" applyAlignment="1">
      <alignment horizontal="center" vertical="center" wrapText="1"/>
    </xf>
    <xf numFmtId="0" fontId="1" fillId="0" borderId="0" xfId="0" applyFont="1" applyAlignment="1">
      <alignment horizontal="left" vertical="center" wrapText="1"/>
    </xf>
    <xf numFmtId="178" fontId="1" fillId="0" borderId="0" xfId="1" applyNumberFormat="1" applyFont="1" applyFill="1" applyBorder="1" applyAlignment="1">
      <alignment vertical="center" wrapText="1"/>
    </xf>
    <xf numFmtId="178" fontId="0" fillId="0" borderId="0" xfId="1" applyNumberFormat="1" applyFont="1" applyFill="1" applyBorder="1" applyAlignment="1"/>
    <xf numFmtId="9" fontId="1" fillId="0" borderId="0" xfId="2" applyFont="1" applyFill="1" applyBorder="1" applyAlignment="1"/>
    <xf numFmtId="0" fontId="9" fillId="0" borderId="5" xfId="0" applyFont="1" applyBorder="1" applyAlignment="1">
      <alignment vertical="center" wrapText="1"/>
    </xf>
    <xf numFmtId="0" fontId="1" fillId="0" borderId="5" xfId="0" applyFont="1" applyBorder="1" applyAlignment="1"/>
    <xf numFmtId="0" fontId="0" fillId="0" borderId="5" xfId="0" applyBorder="1" applyAlignment="1">
      <alignment horizontal="center" vertical="center" wrapText="1"/>
    </xf>
    <xf numFmtId="178" fontId="0" fillId="0" borderId="0" xfId="1" applyNumberFormat="1" applyFont="1" applyFill="1" applyBorder="1" applyAlignment="1">
      <alignment vertical="center" wrapText="1"/>
    </xf>
    <xf numFmtId="9" fontId="0" fillId="0" borderId="0" xfId="2" applyFont="1" applyFill="1" applyBorder="1" applyAlignment="1"/>
    <xf numFmtId="0" fontId="0" fillId="0" borderId="5" xfId="0" applyBorder="1" applyAlignment="1"/>
    <xf numFmtId="0" fontId="0" fillId="0" borderId="5" xfId="0" applyBorder="1" applyAlignment="1">
      <alignment vertical="center" wrapText="1"/>
    </xf>
    <xf numFmtId="0" fontId="10" fillId="0" borderId="0" xfId="0" applyFont="1" applyAlignment="1">
      <alignment vertical="center" wrapText="1"/>
    </xf>
    <xf numFmtId="178" fontId="10" fillId="0" borderId="0" xfId="1" applyNumberFormat="1" applyFont="1" applyFill="1" applyBorder="1" applyAlignment="1">
      <alignment vertical="center" wrapText="1"/>
    </xf>
    <xf numFmtId="0" fontId="3" fillId="0" borderId="5" xfId="0" applyFont="1" applyBorder="1" applyAlignment="1">
      <alignment horizontal="center" vertical="center" wrapText="1"/>
    </xf>
    <xf numFmtId="0" fontId="3" fillId="0" borderId="0" xfId="0" applyFont="1" applyAlignment="1">
      <alignment vertical="center" wrapText="1"/>
    </xf>
    <xf numFmtId="178" fontId="3" fillId="0" borderId="0" xfId="1" applyNumberFormat="1" applyFont="1" applyFill="1" applyBorder="1" applyAlignment="1">
      <alignment vertical="center" wrapText="1"/>
    </xf>
    <xf numFmtId="178" fontId="3" fillId="0" borderId="0" xfId="1" applyNumberFormat="1" applyFont="1" applyFill="1" applyBorder="1" applyAlignment="1"/>
    <xf numFmtId="9" fontId="3" fillId="0" borderId="0" xfId="2" applyFont="1" applyFill="1" applyBorder="1" applyAlignment="1"/>
    <xf numFmtId="0" fontId="11" fillId="0" borderId="5" xfId="0" applyFont="1" applyBorder="1" applyAlignment="1">
      <alignment vertical="center" wrapText="1"/>
    </xf>
    <xf numFmtId="0" fontId="3" fillId="0" borderId="5" xfId="0" applyFont="1" applyBorder="1" applyAlignment="1"/>
    <xf numFmtId="0" fontId="3" fillId="0" borderId="5" xfId="0" applyFont="1" applyBorder="1" applyAlignment="1">
      <alignment vertical="center" wrapText="1"/>
    </xf>
    <xf numFmtId="178" fontId="10" fillId="0" borderId="0" xfId="1" applyNumberFormat="1" applyFont="1" applyFill="1" applyBorder="1" applyAlignment="1">
      <alignment vertical="center"/>
    </xf>
    <xf numFmtId="9" fontId="10" fillId="0" borderId="0" xfId="2" applyFont="1" applyFill="1" applyBorder="1" applyAlignment="1"/>
    <xf numFmtId="0" fontId="10" fillId="0" borderId="5" xfId="0" applyFont="1" applyBorder="1" applyAlignment="1">
      <alignment horizontal="center" vertical="center" wrapText="1"/>
    </xf>
    <xf numFmtId="178" fontId="1" fillId="0" borderId="0" xfId="1" applyNumberFormat="1" applyFont="1" applyFill="1" applyAlignment="1">
      <alignment horizontal="center" vertical="center"/>
    </xf>
    <xf numFmtId="9" fontId="4" fillId="0" borderId="0" xfId="2" applyFont="1" applyFill="1" applyBorder="1" applyAlignment="1"/>
    <xf numFmtId="0" fontId="4" fillId="0" borderId="5" xfId="0" applyFont="1" applyBorder="1" applyAlignment="1"/>
    <xf numFmtId="0" fontId="4" fillId="0" borderId="5" xfId="0" applyFont="1" applyBorder="1" applyAlignment="1">
      <alignment horizontal="center" vertical="center" wrapText="1"/>
    </xf>
    <xf numFmtId="0" fontId="4" fillId="0" borderId="0" xfId="0" applyFont="1" applyAlignment="1">
      <alignment vertical="center" wrapText="1"/>
    </xf>
    <xf numFmtId="178" fontId="4" fillId="0" borderId="0" xfId="1" applyNumberFormat="1" applyFont="1" applyFill="1" applyBorder="1" applyAlignment="1">
      <alignment vertical="center" wrapText="1"/>
    </xf>
    <xf numFmtId="178" fontId="4" fillId="0" borderId="0" xfId="1" applyNumberFormat="1" applyFont="1" applyFill="1" applyBorder="1" applyAlignment="1"/>
    <xf numFmtId="0" fontId="12" fillId="0" borderId="5" xfId="0" applyFont="1" applyBorder="1" applyAlignment="1">
      <alignment vertical="center" wrapText="1"/>
    </xf>
    <xf numFmtId="41" fontId="1" fillId="0" borderId="3" xfId="0" applyNumberFormat="1" applyFont="1" applyBorder="1" applyAlignment="1">
      <alignment horizontal="center" vertical="center" wrapText="1"/>
    </xf>
    <xf numFmtId="0" fontId="13" fillId="3" borderId="5" xfId="0" applyFont="1" applyFill="1" applyBorder="1" applyAlignment="1">
      <alignment vertical="center" wrapText="1"/>
    </xf>
    <xf numFmtId="41" fontId="13" fillId="3" borderId="0" xfId="0" applyNumberFormat="1" applyFont="1" applyFill="1" applyAlignment="1">
      <alignment vertical="center" wrapText="1"/>
    </xf>
    <xf numFmtId="41" fontId="2" fillId="0" borderId="0" xfId="0" applyNumberFormat="1" applyFont="1" applyAlignment="1">
      <alignment vertical="center" wrapText="1"/>
    </xf>
    <xf numFmtId="0" fontId="14" fillId="0" borderId="5" xfId="0" applyFont="1" applyBorder="1" applyAlignment="1">
      <alignment vertical="center" wrapText="1"/>
    </xf>
    <xf numFmtId="41" fontId="14" fillId="0" borderId="0" xfId="0" applyNumberFormat="1" applyFont="1" applyAlignment="1">
      <alignment vertical="center" wrapText="1"/>
    </xf>
    <xf numFmtId="41" fontId="7" fillId="3" borderId="0" xfId="0" applyNumberFormat="1" applyFont="1" applyFill="1" applyAlignment="1"/>
    <xf numFmtId="41" fontId="0" fillId="5" borderId="0" xfId="0" applyNumberFormat="1" applyFill="1" applyAlignment="1"/>
    <xf numFmtId="0" fontId="15" fillId="0" borderId="5" xfId="0" applyFont="1" applyBorder="1" applyAlignment="1">
      <alignment vertical="center" wrapText="1"/>
    </xf>
    <xf numFmtId="41" fontId="15" fillId="0" borderId="0" xfId="0" applyNumberFormat="1" applyFont="1" applyAlignment="1">
      <alignment vertical="center" wrapText="1"/>
    </xf>
    <xf numFmtId="0" fontId="5" fillId="0" borderId="5" xfId="0" applyFont="1" applyBorder="1" applyAlignment="1">
      <alignment vertical="center" wrapText="1"/>
    </xf>
    <xf numFmtId="0" fontId="16" fillId="0" borderId="5" xfId="0" applyFont="1" applyBorder="1" applyAlignment="1">
      <alignment vertical="center" wrapText="1"/>
    </xf>
    <xf numFmtId="41" fontId="16" fillId="0" borderId="0" xfId="0" applyNumberFormat="1" applyFont="1" applyAlignment="1">
      <alignment vertical="center" wrapText="1"/>
    </xf>
    <xf numFmtId="41" fontId="9" fillId="0" borderId="0" xfId="0" applyNumberFormat="1" applyFont="1" applyAlignment="1">
      <alignment vertical="center" wrapText="1"/>
    </xf>
    <xf numFmtId="41" fontId="4" fillId="0" borderId="0" xfId="1" applyNumberFormat="1" applyFont="1" applyFill="1" applyBorder="1" applyAlignment="1">
      <alignment vertical="center" wrapText="1"/>
    </xf>
    <xf numFmtId="41" fontId="17" fillId="0" borderId="0" xfId="0" applyNumberFormat="1" applyFont="1" applyAlignment="1">
      <alignment vertical="center" wrapText="1"/>
    </xf>
    <xf numFmtId="176" fontId="0" fillId="0" borderId="1" xfId="0" applyNumberFormat="1" applyBorder="1" applyAlignment="1">
      <alignment horizontal="center" vertical="center"/>
    </xf>
    <xf numFmtId="176" fontId="1" fillId="7" borderId="3" xfId="0" applyNumberFormat="1" applyFont="1" applyFill="1" applyBorder="1" applyAlignment="1">
      <alignment horizontal="center" vertical="center"/>
    </xf>
    <xf numFmtId="0" fontId="1" fillId="0" borderId="7" xfId="0" applyFont="1" applyBorder="1" applyAlignment="1">
      <alignment vertical="center" wrapText="1"/>
    </xf>
    <xf numFmtId="0" fontId="1" fillId="0" borderId="0" xfId="0" applyFont="1" applyAlignment="1">
      <alignment horizontal="center" vertical="center"/>
    </xf>
    <xf numFmtId="176" fontId="7" fillId="3" borderId="0" xfId="0" applyNumberFormat="1" applyFont="1" applyFill="1" applyAlignment="1">
      <alignment horizontal="center" vertical="center" wrapText="1"/>
    </xf>
    <xf numFmtId="0" fontId="7" fillId="3" borderId="7" xfId="0" applyFont="1" applyFill="1" applyBorder="1" applyAlignment="1">
      <alignment vertical="center" wrapText="1"/>
    </xf>
    <xf numFmtId="0" fontId="7" fillId="3" borderId="0" xfId="0" applyFont="1" applyFill="1" applyAlignment="1">
      <alignment horizontal="center" vertical="center" wrapText="1"/>
    </xf>
    <xf numFmtId="176" fontId="2" fillId="0" borderId="0" xfId="0" applyNumberFormat="1" applyFont="1" applyAlignment="1">
      <alignment horizontal="center" vertical="center"/>
    </xf>
    <xf numFmtId="0" fontId="2" fillId="0" borderId="0" xfId="0" applyFont="1" applyAlignment="1">
      <alignment horizontal="center" vertical="center"/>
    </xf>
    <xf numFmtId="0" fontId="2" fillId="0" borderId="0" xfId="0" applyFont="1">
      <alignment vertical="center"/>
    </xf>
    <xf numFmtId="0" fontId="2" fillId="0" borderId="7" xfId="0" applyFont="1" applyBorder="1" applyAlignment="1">
      <alignment vertical="center" wrapText="1"/>
    </xf>
    <xf numFmtId="14" fontId="2" fillId="0" borderId="7" xfId="0" applyNumberFormat="1" applyFont="1" applyBorder="1" applyAlignment="1">
      <alignment vertical="center" wrapText="1"/>
    </xf>
    <xf numFmtId="31" fontId="2" fillId="0" borderId="7" xfId="0" applyNumberFormat="1" applyFont="1" applyBorder="1" applyAlignment="1">
      <alignment vertical="center" wrapText="1"/>
    </xf>
    <xf numFmtId="179" fontId="2" fillId="0" borderId="7" xfId="0" applyNumberFormat="1" applyFont="1" applyBorder="1" applyAlignment="1">
      <alignment vertical="center" wrapText="1"/>
    </xf>
    <xf numFmtId="57" fontId="2" fillId="0" borderId="7" xfId="0" applyNumberFormat="1" applyFont="1" applyBorder="1" applyAlignment="1">
      <alignment vertical="center" wrapText="1"/>
    </xf>
    <xf numFmtId="0" fontId="2" fillId="0" borderId="7" xfId="0" applyFont="1" applyBorder="1" applyAlignment="1">
      <alignment horizontal="right" vertical="center" wrapText="1"/>
    </xf>
    <xf numFmtId="176" fontId="2" fillId="9" borderId="0" xfId="0" applyNumberFormat="1" applyFont="1" applyFill="1" applyAlignment="1">
      <alignment horizontal="center" vertical="center"/>
    </xf>
    <xf numFmtId="4" fontId="2" fillId="0" borderId="7" xfId="0" applyNumberFormat="1" applyFont="1" applyBorder="1" applyAlignment="1">
      <alignment vertical="center" wrapText="1"/>
    </xf>
    <xf numFmtId="0" fontId="8" fillId="0" borderId="7" xfId="0" applyFont="1" applyBorder="1" applyAlignment="1">
      <alignment vertical="center" wrapText="1"/>
    </xf>
    <xf numFmtId="176" fontId="7" fillId="3" borderId="0" xfId="0" applyNumberFormat="1" applyFont="1" applyFill="1" applyAlignment="1">
      <alignment horizontal="center" vertical="center"/>
    </xf>
    <xf numFmtId="0" fontId="7" fillId="3" borderId="5" xfId="0" applyFont="1" applyFill="1" applyBorder="1">
      <alignment vertical="center"/>
    </xf>
    <xf numFmtId="0" fontId="7" fillId="3" borderId="0" xfId="0" applyFont="1" applyFill="1">
      <alignment vertical="center"/>
    </xf>
    <xf numFmtId="0" fontId="7" fillId="3" borderId="0" xfId="0" applyFont="1" applyFill="1" applyAlignment="1">
      <alignment horizontal="center" vertical="center"/>
    </xf>
    <xf numFmtId="176" fontId="0" fillId="5" borderId="0" xfId="0" applyNumberFormat="1" applyFill="1" applyAlignment="1">
      <alignment horizontal="center" vertical="center"/>
    </xf>
    <xf numFmtId="0" fontId="0" fillId="5" borderId="5" xfId="0" applyFill="1" applyBorder="1">
      <alignment vertical="center"/>
    </xf>
    <xf numFmtId="0" fontId="0" fillId="5" borderId="0" xfId="0" applyFill="1">
      <alignment vertical="center"/>
    </xf>
    <xf numFmtId="0" fontId="0" fillId="5" borderId="7" xfId="0" applyFill="1" applyBorder="1" applyAlignment="1">
      <alignment vertical="center" wrapText="1"/>
    </xf>
    <xf numFmtId="178" fontId="1" fillId="0" borderId="0" xfId="1" applyNumberFormat="1" applyFont="1" applyAlignment="1">
      <alignment horizontal="center" vertical="center"/>
    </xf>
    <xf numFmtId="180" fontId="1" fillId="0" borderId="5" xfId="0" applyNumberFormat="1" applyFont="1" applyBorder="1">
      <alignment vertical="center"/>
    </xf>
    <xf numFmtId="180" fontId="1" fillId="0" borderId="0" xfId="1" applyNumberFormat="1" applyFont="1" applyFill="1" applyBorder="1" applyAlignment="1">
      <alignment vertical="center"/>
    </xf>
    <xf numFmtId="180" fontId="1" fillId="0" borderId="7" xfId="0" applyNumberFormat="1" applyFont="1" applyBorder="1" applyAlignment="1">
      <alignment wrapText="1"/>
    </xf>
    <xf numFmtId="178" fontId="0" fillId="0" borderId="0" xfId="1" applyNumberFormat="1" applyFont="1" applyAlignment="1">
      <alignment horizontal="center" vertical="center"/>
    </xf>
    <xf numFmtId="180" fontId="0" fillId="0" borderId="5" xfId="0" applyNumberFormat="1" applyBorder="1">
      <alignment vertical="center"/>
    </xf>
    <xf numFmtId="180" fontId="0" fillId="0" borderId="0" xfId="1" applyNumberFormat="1" applyFont="1" applyFill="1" applyBorder="1" applyAlignment="1">
      <alignment vertical="center"/>
    </xf>
    <xf numFmtId="180" fontId="0" fillId="0" borderId="7" xfId="0" applyNumberFormat="1" applyBorder="1" applyAlignment="1">
      <alignment wrapText="1"/>
    </xf>
    <xf numFmtId="178" fontId="3" fillId="0" borderId="0" xfId="1" applyNumberFormat="1" applyFont="1" applyAlignment="1">
      <alignment horizontal="center" vertical="center"/>
    </xf>
    <xf numFmtId="180" fontId="3" fillId="0" borderId="5" xfId="0" applyNumberFormat="1" applyFont="1" applyBorder="1">
      <alignment vertical="center"/>
    </xf>
    <xf numFmtId="180" fontId="3" fillId="0" borderId="0" xfId="1" applyNumberFormat="1" applyFont="1" applyFill="1" applyBorder="1" applyAlignment="1">
      <alignment vertical="center"/>
    </xf>
    <xf numFmtId="10" fontId="3" fillId="0" borderId="7" xfId="2" applyNumberFormat="1" applyFont="1" applyBorder="1" applyAlignment="1">
      <alignment wrapText="1"/>
    </xf>
    <xf numFmtId="180" fontId="3" fillId="0" borderId="7" xfId="0" applyNumberFormat="1" applyFont="1" applyBorder="1" applyAlignment="1">
      <alignment wrapText="1"/>
    </xf>
    <xf numFmtId="180" fontId="0" fillId="0" borderId="7" xfId="0" applyNumberFormat="1" applyBorder="1" applyAlignment="1">
      <alignment vertical="center" wrapText="1"/>
    </xf>
    <xf numFmtId="178" fontId="0" fillId="0" borderId="0" xfId="1" applyNumberFormat="1" applyFont="1" applyFill="1" applyAlignment="1">
      <alignment horizontal="center" vertical="center"/>
    </xf>
    <xf numFmtId="178" fontId="0" fillId="6" borderId="0" xfId="1" applyNumberFormat="1" applyFont="1" applyFill="1" applyAlignment="1">
      <alignment horizontal="center" vertical="center"/>
    </xf>
    <xf numFmtId="0" fontId="0" fillId="0" borderId="7" xfId="0" applyBorder="1" applyAlignment="1">
      <alignment vertical="center" wrapText="1"/>
    </xf>
    <xf numFmtId="178" fontId="4" fillId="0" borderId="0" xfId="1" applyNumberFormat="1" applyFont="1" applyFill="1" applyAlignment="1">
      <alignment horizontal="center" vertical="center"/>
    </xf>
    <xf numFmtId="180" fontId="4" fillId="0" borderId="5" xfId="0" applyNumberFormat="1" applyFont="1" applyBorder="1">
      <alignment vertical="center"/>
    </xf>
    <xf numFmtId="180" fontId="4" fillId="0" borderId="0" xfId="1" applyNumberFormat="1" applyFont="1" applyFill="1" applyBorder="1" applyAlignment="1">
      <alignment vertical="center"/>
    </xf>
    <xf numFmtId="180" fontId="4" fillId="0" borderId="7" xfId="0" applyNumberFormat="1" applyFont="1" applyBorder="1" applyAlignment="1">
      <alignment wrapText="1"/>
    </xf>
    <xf numFmtId="0" fontId="1" fillId="0" borderId="7" xfId="0" applyFont="1" applyBorder="1" applyAlignment="1">
      <alignment horizontal="center" vertical="center"/>
    </xf>
    <xf numFmtId="0" fontId="7" fillId="3" borderId="7" xfId="0" applyFont="1" applyFill="1" applyBorder="1" applyAlignment="1">
      <alignment horizontal="center" vertical="center" wrapText="1"/>
    </xf>
    <xf numFmtId="0" fontId="2" fillId="0" borderId="7" xfId="0" applyFont="1" applyBorder="1" applyAlignment="1">
      <alignment horizontal="center" vertical="center"/>
    </xf>
    <xf numFmtId="0" fontId="7" fillId="3" borderId="7" xfId="0" applyFont="1" applyFill="1" applyBorder="1" applyAlignment="1">
      <alignment horizontal="center" vertical="center"/>
    </xf>
    <xf numFmtId="176" fontId="0" fillId="9" borderId="0" xfId="0" applyNumberFormat="1" applyFill="1" applyAlignment="1">
      <alignment horizontal="center" vertical="center"/>
    </xf>
    <xf numFmtId="0" fontId="0" fillId="5" borderId="7" xfId="0" applyFill="1" applyBorder="1" applyAlignment="1">
      <alignment horizontal="center" vertical="center"/>
    </xf>
    <xf numFmtId="178" fontId="1" fillId="0" borderId="0" xfId="0" applyNumberFormat="1" applyFont="1" applyAlignment="1"/>
    <xf numFmtId="0" fontId="0" fillId="0" borderId="7" xfId="0" applyBorder="1" applyAlignment="1">
      <alignment horizontal="center" vertical="center"/>
    </xf>
    <xf numFmtId="178" fontId="0" fillId="0" borderId="0" xfId="0" applyNumberFormat="1" applyAlignment="1"/>
    <xf numFmtId="0" fontId="3" fillId="0" borderId="7" xfId="0" applyFont="1" applyBorder="1" applyAlignment="1">
      <alignment horizontal="center" vertical="center"/>
    </xf>
    <xf numFmtId="178" fontId="3" fillId="0" borderId="0" xfId="0" applyNumberFormat="1" applyFont="1" applyAlignment="1"/>
    <xf numFmtId="180" fontId="1" fillId="0" borderId="0" xfId="0" applyNumberFormat="1" applyFont="1">
      <alignment vertical="center"/>
    </xf>
    <xf numFmtId="178" fontId="4" fillId="0" borderId="0" xfId="1" applyNumberFormat="1" applyFont="1" applyAlignment="1">
      <alignment horizontal="center" vertical="center"/>
    </xf>
    <xf numFmtId="0" fontId="4" fillId="0" borderId="7" xfId="0" applyFont="1" applyBorder="1" applyAlignment="1">
      <alignment horizontal="center" vertical="center"/>
    </xf>
    <xf numFmtId="178" fontId="4" fillId="0" borderId="0" xfId="0" applyNumberFormat="1" applyFont="1" applyAlignment="1"/>
    <xf numFmtId="178" fontId="0" fillId="0" borderId="0" xfId="1" applyNumberFormat="1" applyFont="1" applyFill="1" applyBorder="1" applyAlignment="1">
      <alignment vertical="center"/>
    </xf>
    <xf numFmtId="0" fontId="3" fillId="0" borderId="0" xfId="0" applyFont="1" applyAlignment="1">
      <alignment horizontal="left" vertical="center" wrapText="1"/>
    </xf>
    <xf numFmtId="0" fontId="10" fillId="0" borderId="0" xfId="0" applyFont="1" applyAlignment="1">
      <alignment horizontal="left" vertical="center" wrapText="1"/>
    </xf>
    <xf numFmtId="0" fontId="10" fillId="0" borderId="5" xfId="0" applyFont="1" applyBorder="1" applyAlignment="1">
      <alignment vertical="center" wrapText="1"/>
    </xf>
    <xf numFmtId="0" fontId="10" fillId="0" borderId="5" xfId="0" applyFont="1" applyBorder="1" applyAlignment="1"/>
    <xf numFmtId="0" fontId="0" fillId="5" borderId="5" xfId="0" applyFill="1" applyBorder="1" applyAlignment="1">
      <alignment horizontal="left" vertical="center"/>
    </xf>
    <xf numFmtId="0" fontId="0" fillId="5" borderId="0" xfId="0" applyFill="1" applyAlignment="1">
      <alignment horizontal="center" vertical="center" wrapText="1"/>
    </xf>
    <xf numFmtId="178" fontId="0" fillId="5" borderId="0" xfId="1" applyNumberFormat="1" applyFont="1" applyFill="1" applyBorder="1" applyAlignment="1">
      <alignment vertical="center" wrapText="1"/>
    </xf>
    <xf numFmtId="178" fontId="0" fillId="5" borderId="0" xfId="1" applyNumberFormat="1" applyFont="1" applyFill="1" applyBorder="1" applyAlignment="1"/>
    <xf numFmtId="178" fontId="0" fillId="5" borderId="0" xfId="2" applyNumberFormat="1" applyFont="1" applyFill="1" applyBorder="1" applyAlignment="1"/>
    <xf numFmtId="178" fontId="0" fillId="5" borderId="5" xfId="2" applyNumberFormat="1" applyFont="1" applyFill="1" applyBorder="1" applyAlignment="1"/>
    <xf numFmtId="178" fontId="0" fillId="0" borderId="0" xfId="2" applyNumberFormat="1" applyFont="1" applyFill="1" applyBorder="1" applyAlignment="1"/>
    <xf numFmtId="0" fontId="0" fillId="2" borderId="5" xfId="0" applyFill="1" applyBorder="1" applyAlignment="1">
      <alignment horizontal="center" vertical="center" wrapText="1"/>
    </xf>
    <xf numFmtId="0" fontId="0" fillId="2" borderId="0" xfId="0" applyFill="1" applyAlignment="1">
      <alignment horizontal="left" vertical="center" wrapText="1"/>
    </xf>
    <xf numFmtId="178" fontId="0" fillId="2" borderId="0" xfId="1" applyNumberFormat="1" applyFont="1" applyFill="1" applyBorder="1" applyAlignment="1">
      <alignment vertical="center" wrapText="1"/>
    </xf>
    <xf numFmtId="178" fontId="0" fillId="2" borderId="0" xfId="1" applyNumberFormat="1" applyFont="1" applyFill="1" applyBorder="1" applyAlignment="1"/>
    <xf numFmtId="178" fontId="0" fillId="2" borderId="0" xfId="2" applyNumberFormat="1" applyFont="1" applyFill="1" applyBorder="1" applyAlignment="1"/>
    <xf numFmtId="0" fontId="0" fillId="2" borderId="5" xfId="0" applyFill="1" applyBorder="1" applyAlignment="1">
      <alignment vertical="center" wrapText="1"/>
    </xf>
    <xf numFmtId="0" fontId="0" fillId="2" borderId="5" xfId="0" applyFill="1" applyBorder="1" applyAlignment="1"/>
    <xf numFmtId="9" fontId="0" fillId="2" borderId="0" xfId="2" applyFont="1" applyFill="1" applyBorder="1" applyAlignment="1"/>
    <xf numFmtId="0" fontId="0" fillId="2" borderId="0" xfId="0" applyFill="1" applyAlignment="1">
      <alignment vertical="center" wrapText="1"/>
    </xf>
    <xf numFmtId="0" fontId="0" fillId="0" borderId="5" xfId="0" applyBorder="1">
      <alignment vertical="center"/>
    </xf>
    <xf numFmtId="41" fontId="18" fillId="0" borderId="0" xfId="1" applyNumberFormat="1" applyFont="1" applyFill="1" applyAlignment="1">
      <alignment horizontal="center" vertical="center"/>
    </xf>
    <xf numFmtId="41" fontId="5" fillId="9" borderId="0" xfId="0" applyNumberFormat="1" applyFont="1" applyFill="1" applyAlignment="1">
      <alignment vertical="center" wrapText="1"/>
    </xf>
    <xf numFmtId="41" fontId="0" fillId="0" borderId="0" xfId="1" applyNumberFormat="1" applyFont="1" applyFill="1" applyAlignment="1">
      <alignment horizontal="center" vertical="center"/>
    </xf>
    <xf numFmtId="41" fontId="0" fillId="5" borderId="0" xfId="2" applyNumberFormat="1" applyFont="1" applyFill="1" applyBorder="1" applyAlignment="1"/>
    <xf numFmtId="0" fontId="5" fillId="2" borderId="5" xfId="0" applyFont="1" applyFill="1" applyBorder="1" applyAlignment="1">
      <alignment vertical="center" wrapText="1"/>
    </xf>
    <xf numFmtId="41" fontId="5" fillId="2" borderId="0" xfId="0" applyNumberFormat="1" applyFont="1" applyFill="1" applyAlignment="1">
      <alignment vertical="center" wrapText="1"/>
    </xf>
    <xf numFmtId="41" fontId="16" fillId="2" borderId="0" xfId="0" applyNumberFormat="1" applyFont="1" applyFill="1" applyAlignment="1">
      <alignment vertical="center" wrapText="1"/>
    </xf>
    <xf numFmtId="178" fontId="3" fillId="0" borderId="0" xfId="1" applyNumberFormat="1" applyFont="1" applyFill="1" applyAlignment="1">
      <alignment horizontal="center" vertical="center"/>
    </xf>
    <xf numFmtId="178" fontId="3" fillId="2" borderId="0" xfId="1" applyNumberFormat="1" applyFont="1" applyFill="1" applyAlignment="1">
      <alignment horizontal="center" vertical="center"/>
    </xf>
    <xf numFmtId="41" fontId="0" fillId="0" borderId="0" xfId="0" applyNumberFormat="1" applyAlignment="1"/>
    <xf numFmtId="178" fontId="18" fillId="0" borderId="0" xfId="1" applyNumberFormat="1" applyFont="1" applyFill="1" applyAlignment="1">
      <alignment horizontal="center" vertical="center"/>
    </xf>
    <xf numFmtId="180" fontId="18" fillId="0" borderId="5" xfId="0" applyNumberFormat="1" applyFont="1" applyBorder="1">
      <alignment vertical="center"/>
    </xf>
    <xf numFmtId="178" fontId="0" fillId="0" borderId="7" xfId="0" applyNumberFormat="1" applyBorder="1" applyAlignment="1">
      <alignment vertical="center" wrapText="1"/>
    </xf>
    <xf numFmtId="0" fontId="3" fillId="0" borderId="7" xfId="0" applyFont="1" applyBorder="1" applyAlignment="1">
      <alignment vertical="center" wrapText="1"/>
    </xf>
    <xf numFmtId="178" fontId="0" fillId="5" borderId="0" xfId="1" applyNumberFormat="1" applyFont="1" applyFill="1" applyBorder="1" applyAlignment="1">
      <alignment horizontal="center" vertical="center"/>
    </xf>
    <xf numFmtId="178" fontId="0" fillId="5" borderId="5" xfId="2" applyNumberFormat="1" applyFont="1" applyFill="1" applyBorder="1" applyAlignment="1">
      <alignment vertical="center"/>
    </xf>
    <xf numFmtId="178" fontId="0" fillId="5" borderId="0" xfId="2" applyNumberFormat="1" applyFont="1" applyFill="1" applyBorder="1" applyAlignment="1">
      <alignment vertical="center"/>
    </xf>
    <xf numFmtId="178" fontId="0" fillId="5" borderId="7" xfId="2" applyNumberFormat="1" applyFont="1" applyFill="1" applyBorder="1" applyAlignment="1">
      <alignment vertical="center" wrapText="1"/>
    </xf>
    <xf numFmtId="178" fontId="18" fillId="6" borderId="0" xfId="1" applyNumberFormat="1" applyFont="1" applyFill="1" applyAlignment="1">
      <alignment horizontal="center" vertical="center"/>
    </xf>
    <xf numFmtId="178" fontId="18" fillId="2" borderId="0" xfId="1" applyNumberFormat="1" applyFont="1" applyFill="1" applyAlignment="1">
      <alignment horizontal="center" vertical="center"/>
    </xf>
    <xf numFmtId="0" fontId="0" fillId="2" borderId="5" xfId="0" applyFill="1" applyBorder="1">
      <alignment vertical="center"/>
    </xf>
    <xf numFmtId="0" fontId="0" fillId="2" borderId="0" xfId="0" applyFill="1">
      <alignment vertical="center"/>
    </xf>
    <xf numFmtId="0" fontId="0" fillId="2" borderId="7" xfId="0" applyFill="1" applyBorder="1" applyAlignment="1">
      <alignment vertical="center" wrapText="1"/>
    </xf>
    <xf numFmtId="178" fontId="0" fillId="2" borderId="0" xfId="1" applyNumberFormat="1" applyFont="1" applyFill="1" applyAlignment="1">
      <alignment horizontal="center" vertical="center"/>
    </xf>
    <xf numFmtId="180" fontId="7" fillId="3" borderId="0" xfId="0" applyNumberFormat="1" applyFont="1" applyFill="1" applyAlignment="1">
      <alignment horizontal="center" vertical="center"/>
    </xf>
    <xf numFmtId="180" fontId="0" fillId="5" borderId="0" xfId="0" applyNumberFormat="1" applyFill="1" applyAlignment="1">
      <alignment horizontal="center" vertical="center"/>
    </xf>
    <xf numFmtId="176" fontId="0" fillId="0" borderId="5" xfId="0" applyNumberFormat="1" applyBorder="1">
      <alignment vertical="center"/>
    </xf>
    <xf numFmtId="176" fontId="0" fillId="0" borderId="0" xfId="0" applyNumberFormat="1">
      <alignment vertical="center"/>
    </xf>
    <xf numFmtId="176" fontId="10" fillId="0" borderId="5" xfId="0" applyNumberFormat="1" applyFont="1" applyBorder="1">
      <alignment vertical="center"/>
    </xf>
    <xf numFmtId="9" fontId="0" fillId="0" borderId="5" xfId="2" applyFont="1" applyFill="1" applyBorder="1" applyAlignment="1">
      <alignment vertical="center"/>
    </xf>
    <xf numFmtId="9" fontId="0" fillId="0" borderId="0" xfId="2" applyFont="1" applyFill="1" applyBorder="1" applyAlignment="1">
      <alignment vertical="center"/>
    </xf>
    <xf numFmtId="9" fontId="0" fillId="0" borderId="0" xfId="2" applyFont="1" applyAlignment="1">
      <alignment horizontal="center" vertical="center"/>
    </xf>
    <xf numFmtId="178" fontId="0" fillId="5" borderId="7" xfId="2" applyNumberFormat="1" applyFont="1" applyFill="1" applyBorder="1" applyAlignment="1">
      <alignment horizontal="center" vertical="center"/>
    </xf>
    <xf numFmtId="0" fontId="0" fillId="2" borderId="7" xfId="0" applyFill="1" applyBorder="1" applyAlignment="1">
      <alignment horizontal="center" vertical="center"/>
    </xf>
    <xf numFmtId="178" fontId="0" fillId="0" borderId="7" xfId="1" applyNumberFormat="1" applyFont="1" applyBorder="1" applyAlignment="1">
      <alignment horizontal="center" vertical="center"/>
    </xf>
    <xf numFmtId="178" fontId="10" fillId="0" borderId="0" xfId="1" applyNumberFormat="1" applyFont="1" applyFill="1" applyBorder="1" applyAlignment="1"/>
    <xf numFmtId="0" fontId="18" fillId="0" borderId="5" xfId="0" applyFont="1" applyBorder="1" applyAlignment="1">
      <alignment vertical="center" wrapText="1"/>
    </xf>
    <xf numFmtId="178" fontId="1" fillId="0" borderId="0" xfId="1" applyNumberFormat="1" applyFont="1" applyFill="1" applyBorder="1" applyAlignment="1"/>
    <xf numFmtId="178" fontId="18" fillId="0" borderId="5" xfId="1" applyNumberFormat="1" applyFont="1" applyBorder="1" applyAlignment="1">
      <alignment vertical="center"/>
    </xf>
    <xf numFmtId="178" fontId="0" fillId="5" borderId="0" xfId="1" applyNumberFormat="1" applyFont="1" applyFill="1" applyAlignment="1">
      <alignment horizontal="center" vertical="center"/>
    </xf>
    <xf numFmtId="176" fontId="0" fillId="0" borderId="7" xfId="0" applyNumberFormat="1" applyBorder="1" applyAlignment="1">
      <alignment vertical="center" wrapText="1"/>
    </xf>
    <xf numFmtId="176" fontId="1" fillId="0" borderId="5" xfId="0" applyNumberFormat="1" applyFont="1" applyBorder="1">
      <alignment vertical="center"/>
    </xf>
    <xf numFmtId="176" fontId="1" fillId="0" borderId="0" xfId="0" applyNumberFormat="1" applyFont="1">
      <alignment vertical="center"/>
    </xf>
    <xf numFmtId="180" fontId="0" fillId="0" borderId="0" xfId="0" applyNumberFormat="1" applyAlignment="1">
      <alignment horizontal="center" vertical="center"/>
    </xf>
    <xf numFmtId="176" fontId="18" fillId="0" borderId="0" xfId="0" applyNumberFormat="1" applyFont="1" applyAlignment="1">
      <alignment horizontal="center" vertical="center"/>
    </xf>
    <xf numFmtId="180" fontId="0" fillId="5" borderId="0" xfId="2" applyNumberFormat="1" applyFont="1" applyFill="1" applyBorder="1" applyAlignment="1">
      <alignment horizontal="center" vertical="center"/>
    </xf>
    <xf numFmtId="178" fontId="0" fillId="5" borderId="7" xfId="1" applyNumberFormat="1" applyFont="1" applyFill="1" applyBorder="1" applyAlignment="1">
      <alignment horizontal="center" vertical="center"/>
    </xf>
    <xf numFmtId="178" fontId="0" fillId="0" borderId="0" xfId="1" applyNumberFormat="1" applyFont="1" applyBorder="1" applyAlignment="1">
      <alignment vertical="center" wrapText="1"/>
    </xf>
    <xf numFmtId="178" fontId="0" fillId="0" borderId="0" xfId="1" applyNumberFormat="1" applyFont="1" applyBorder="1" applyAlignment="1"/>
    <xf numFmtId="9" fontId="0" fillId="0" borderId="0" xfId="2" applyFont="1" applyBorder="1" applyAlignment="1"/>
    <xf numFmtId="0" fontId="0" fillId="0" borderId="4" xfId="0" applyBorder="1" applyAlignment="1">
      <alignment horizontal="center" vertical="center" wrapText="1"/>
    </xf>
    <xf numFmtId="0" fontId="0" fillId="0" borderId="1" xfId="0" applyBorder="1" applyAlignment="1">
      <alignment horizontal="left" vertical="center" wrapText="1"/>
    </xf>
    <xf numFmtId="178" fontId="0" fillId="0" borderId="1" xfId="1" applyNumberFormat="1" applyFont="1" applyFill="1" applyBorder="1" applyAlignment="1">
      <alignment vertical="center" wrapText="1"/>
    </xf>
    <xf numFmtId="178" fontId="0" fillId="0" borderId="1" xfId="1" applyNumberFormat="1" applyFont="1" applyFill="1" applyBorder="1" applyAlignment="1"/>
    <xf numFmtId="9" fontId="0" fillId="0" borderId="1" xfId="2" applyFont="1" applyFill="1" applyBorder="1" applyAlignment="1"/>
    <xf numFmtId="0" fontId="0" fillId="0" borderId="4" xfId="0" applyBorder="1" applyAlignment="1">
      <alignment vertical="center" wrapText="1"/>
    </xf>
    <xf numFmtId="0" fontId="0" fillId="0" borderId="4" xfId="0" applyBorder="1" applyAlignment="1"/>
    <xf numFmtId="0" fontId="5" fillId="0" borderId="4" xfId="0" applyFont="1" applyBorder="1" applyAlignment="1">
      <alignment vertical="center" wrapText="1"/>
    </xf>
    <xf numFmtId="41" fontId="5" fillId="0" borderId="1" xfId="0" applyNumberFormat="1" applyFont="1" applyBorder="1" applyAlignment="1">
      <alignment vertical="center" wrapText="1"/>
    </xf>
    <xf numFmtId="176" fontId="10" fillId="0" borderId="0" xfId="0" applyNumberFormat="1" applyFont="1">
      <alignment vertical="center"/>
    </xf>
    <xf numFmtId="176" fontId="0" fillId="0" borderId="4" xfId="0" applyNumberFormat="1" applyBorder="1">
      <alignment vertical="center"/>
    </xf>
    <xf numFmtId="176" fontId="0" fillId="0" borderId="1" xfId="0" applyNumberFormat="1" applyBorder="1">
      <alignment vertical="center"/>
    </xf>
    <xf numFmtId="0" fontId="0" fillId="0" borderId="8" xfId="0" applyBorder="1" applyAlignment="1">
      <alignment vertical="center" wrapText="1"/>
    </xf>
    <xf numFmtId="180" fontId="0" fillId="0" borderId="1" xfId="0" applyNumberFormat="1" applyBorder="1" applyAlignment="1">
      <alignment horizontal="center" vertical="center"/>
    </xf>
    <xf numFmtId="176" fontId="0" fillId="4" borderId="0" xfId="0" applyNumberFormat="1" applyFill="1" applyAlignment="1">
      <alignment horizontal="center" vertical="center"/>
    </xf>
    <xf numFmtId="0" fontId="0" fillId="0" borderId="8" xfId="0" applyBorder="1" applyAlignment="1">
      <alignment horizontal="center" vertical="center"/>
    </xf>
    <xf numFmtId="0" fontId="0" fillId="4" borderId="0" xfId="0" applyFill="1" applyAlignment="1">
      <alignment horizontal="center" vertical="center"/>
    </xf>
    <xf numFmtId="0" fontId="0" fillId="10" borderId="0" xfId="0" applyFill="1" applyAlignment="1">
      <alignment horizontal="center" vertical="center"/>
    </xf>
    <xf numFmtId="0" fontId="0" fillId="10" borderId="0" xfId="0" applyFill="1" applyAlignment="1">
      <alignment vertical="center" wrapText="1"/>
    </xf>
    <xf numFmtId="0" fontId="0" fillId="10" borderId="0" xfId="0" applyFill="1" applyAlignment="1"/>
    <xf numFmtId="0" fontId="0" fillId="10" borderId="5" xfId="0" applyFill="1" applyBorder="1" applyAlignment="1">
      <alignment vertical="center" wrapText="1"/>
    </xf>
    <xf numFmtId="0" fontId="0" fillId="10" borderId="5" xfId="0" applyFill="1" applyBorder="1" applyAlignment="1"/>
    <xf numFmtId="176" fontId="0" fillId="10" borderId="0" xfId="0" applyNumberFormat="1" applyFill="1" applyAlignment="1">
      <alignment horizontal="center" vertical="center"/>
    </xf>
    <xf numFmtId="0" fontId="0" fillId="10" borderId="5" xfId="0" applyFill="1" applyBorder="1">
      <alignment vertical="center"/>
    </xf>
    <xf numFmtId="178" fontId="0" fillId="0" borderId="5" xfId="1" applyNumberFormat="1" applyFont="1" applyFill="1" applyBorder="1" applyAlignment="1">
      <alignment vertical="center" wrapText="1"/>
    </xf>
    <xf numFmtId="0" fontId="0" fillId="10" borderId="7" xfId="0" applyFill="1" applyBorder="1" applyAlignment="1">
      <alignment vertical="center" wrapText="1"/>
    </xf>
    <xf numFmtId="0" fontId="0" fillId="10" borderId="7" xfId="0" applyFill="1" applyBorder="1" applyAlignment="1">
      <alignment horizontal="center" vertical="center"/>
    </xf>
    <xf numFmtId="0" fontId="0" fillId="10" borderId="5" xfId="0" applyFill="1" applyBorder="1" applyAlignment="1">
      <alignment horizontal="left" vertical="center"/>
    </xf>
    <xf numFmtId="0" fontId="0" fillId="10" borderId="0" xfId="0" applyFill="1" applyAlignment="1">
      <alignment horizontal="center" vertical="center" wrapText="1"/>
    </xf>
    <xf numFmtId="178" fontId="0" fillId="10" borderId="0" xfId="1" applyNumberFormat="1" applyFont="1" applyFill="1" applyBorder="1" applyAlignment="1">
      <alignment vertical="center" wrapText="1"/>
    </xf>
    <xf numFmtId="178" fontId="0" fillId="10" borderId="0" xfId="1" applyNumberFormat="1" applyFont="1" applyFill="1" applyBorder="1" applyAlignment="1"/>
    <xf numFmtId="178" fontId="0" fillId="10" borderId="0" xfId="2" applyNumberFormat="1" applyFont="1" applyFill="1" applyBorder="1" applyAlignment="1"/>
    <xf numFmtId="178" fontId="0" fillId="10" borderId="5" xfId="2" applyNumberFormat="1" applyFont="1" applyFill="1" applyBorder="1" applyAlignment="1"/>
    <xf numFmtId="43" fontId="0" fillId="0" borderId="0" xfId="1" applyFont="1" applyFill="1" applyBorder="1" applyAlignment="1">
      <alignment vertical="center" wrapText="1"/>
    </xf>
    <xf numFmtId="176" fontId="0" fillId="10" borderId="0" xfId="2" applyNumberFormat="1" applyFont="1" applyFill="1" applyBorder="1" applyAlignment="1">
      <alignment horizontal="center" vertical="center"/>
    </xf>
    <xf numFmtId="178" fontId="0" fillId="10" borderId="0" xfId="1" applyNumberFormat="1" applyFont="1" applyFill="1" applyBorder="1" applyAlignment="1">
      <alignment horizontal="center" vertical="center"/>
    </xf>
    <xf numFmtId="178" fontId="0" fillId="10" borderId="5" xfId="2" applyNumberFormat="1" applyFont="1" applyFill="1" applyBorder="1" applyAlignment="1">
      <alignment vertical="center"/>
    </xf>
    <xf numFmtId="178" fontId="10" fillId="0" borderId="5" xfId="1" applyNumberFormat="1" applyFont="1" applyBorder="1" applyAlignment="1">
      <alignment vertical="center"/>
    </xf>
    <xf numFmtId="178" fontId="0" fillId="10" borderId="0" xfId="2" applyNumberFormat="1" applyFont="1" applyFill="1" applyBorder="1" applyAlignment="1">
      <alignment vertical="center" wrapText="1"/>
    </xf>
    <xf numFmtId="178" fontId="0" fillId="10" borderId="7" xfId="2" applyNumberFormat="1" applyFont="1" applyFill="1" applyBorder="1" applyAlignment="1">
      <alignment vertical="center" wrapText="1"/>
    </xf>
    <xf numFmtId="178" fontId="0" fillId="10" borderId="0" xfId="2" applyNumberFormat="1" applyFont="1" applyFill="1" applyBorder="1" applyAlignment="1">
      <alignment horizontal="center" vertical="center"/>
    </xf>
    <xf numFmtId="178" fontId="0" fillId="10" borderId="7" xfId="2" applyNumberFormat="1" applyFont="1" applyFill="1" applyBorder="1" applyAlignment="1">
      <alignment horizontal="center" vertical="center"/>
    </xf>
    <xf numFmtId="176" fontId="0" fillId="0" borderId="0" xfId="0" applyNumberFormat="1" applyAlignment="1">
      <alignment vertical="center" wrapText="1"/>
    </xf>
    <xf numFmtId="9" fontId="0" fillId="0" borderId="0" xfId="2" applyFont="1" applyFill="1" applyBorder="1" applyAlignment="1">
      <alignment vertical="center" wrapText="1"/>
    </xf>
    <xf numFmtId="176" fontId="1" fillId="0" borderId="0" xfId="0" applyNumberFormat="1" applyFont="1" applyAlignment="1">
      <alignment vertical="center" wrapText="1"/>
    </xf>
    <xf numFmtId="176" fontId="10" fillId="0" borderId="0" xfId="0" applyNumberFormat="1" applyFont="1" applyAlignment="1">
      <alignment vertical="center" wrapText="1"/>
    </xf>
    <xf numFmtId="176" fontId="0" fillId="0" borderId="1" xfId="0" applyNumberFormat="1" applyBorder="1" applyAlignment="1">
      <alignment vertical="center" wrapText="1"/>
    </xf>
    <xf numFmtId="0" fontId="0" fillId="0" borderId="1" xfId="0" applyBorder="1" applyAlignment="1">
      <alignment horizontal="center" vertical="center"/>
    </xf>
    <xf numFmtId="0" fontId="3" fillId="0" borderId="0" xfId="0" applyFont="1">
      <alignment vertical="center"/>
    </xf>
    <xf numFmtId="0" fontId="11" fillId="0" borderId="0" xfId="0" applyFont="1" applyAlignment="1"/>
    <xf numFmtId="0" fontId="4" fillId="0" borderId="3" xfId="0" applyFont="1" applyBorder="1" applyAlignment="1">
      <alignment horizontal="center" vertical="center" wrapText="1"/>
    </xf>
    <xf numFmtId="0" fontId="6" fillId="3" borderId="0" xfId="0" applyFont="1" applyFill="1" applyAlignment="1"/>
    <xf numFmtId="0" fontId="19" fillId="3" borderId="0" xfId="0" applyFont="1" applyFill="1" applyAlignment="1">
      <alignment vertical="center" wrapText="1"/>
    </xf>
    <xf numFmtId="0" fontId="6" fillId="3" borderId="0" xfId="0" applyFont="1" applyFill="1" applyAlignment="1">
      <alignment vertical="center" wrapText="1"/>
    </xf>
    <xf numFmtId="0" fontId="11" fillId="0" borderId="5" xfId="0" applyFont="1" applyBorder="1" applyAlignment="1">
      <alignment horizontal="center" vertical="center" wrapText="1"/>
    </xf>
    <xf numFmtId="0" fontId="11" fillId="0" borderId="0" xfId="0" applyFont="1" applyAlignment="1">
      <alignment horizontal="left" wrapText="1"/>
    </xf>
    <xf numFmtId="0" fontId="11" fillId="0" borderId="0" xfId="0" applyFont="1" applyAlignment="1">
      <alignment horizontal="left" vertical="center" wrapText="1"/>
    </xf>
    <xf numFmtId="0" fontId="11" fillId="0" borderId="0" xfId="0" applyFont="1" applyAlignment="1">
      <alignment horizontal="center" vertical="center" wrapText="1"/>
    </xf>
    <xf numFmtId="0" fontId="11" fillId="0" borderId="0" xfId="0" applyFont="1" applyAlignment="1">
      <alignment vertical="center" wrapText="1"/>
    </xf>
    <xf numFmtId="0" fontId="20" fillId="0" borderId="0" xfId="0" applyFont="1" applyAlignment="1">
      <alignment horizontal="left" vertical="center" wrapText="1"/>
    </xf>
    <xf numFmtId="0" fontId="20" fillId="0" borderId="0" xfId="0" applyFont="1" applyAlignment="1">
      <alignment vertical="center" wrapText="1"/>
    </xf>
    <xf numFmtId="0" fontId="20" fillId="0" borderId="0" xfId="0" applyFont="1" applyAlignment="1">
      <alignment vertical="top" wrapText="1"/>
    </xf>
    <xf numFmtId="0" fontId="2" fillId="0" borderId="0" xfId="0" applyFont="1" applyAlignment="1">
      <alignment vertical="top" wrapText="1"/>
    </xf>
    <xf numFmtId="0" fontId="0" fillId="11" borderId="0" xfId="0" applyFill="1" applyAlignment="1">
      <alignment horizontal="center" vertical="center"/>
    </xf>
    <xf numFmtId="0" fontId="0" fillId="11" borderId="0" xfId="0" applyFill="1" applyAlignment="1">
      <alignment vertical="center" wrapText="1"/>
    </xf>
    <xf numFmtId="0" fontId="0" fillId="11" borderId="0" xfId="0" applyFill="1" applyAlignment="1"/>
    <xf numFmtId="10" fontId="0" fillId="0" borderId="0" xfId="2" applyNumberFormat="1" applyFont="1" applyFill="1" applyBorder="1" applyAlignment="1">
      <alignment horizontal="center"/>
    </xf>
    <xf numFmtId="10" fontId="10" fillId="0" borderId="0" xfId="2" applyNumberFormat="1" applyFont="1" applyFill="1" applyBorder="1" applyAlignment="1">
      <alignment horizontal="center" vertical="center" wrapText="1"/>
    </xf>
    <xf numFmtId="10" fontId="0" fillId="0" borderId="0" xfId="2" applyNumberFormat="1" applyFont="1" applyFill="1" applyBorder="1" applyAlignment="1">
      <alignment horizontal="center" vertical="center" wrapText="1"/>
    </xf>
    <xf numFmtId="10" fontId="3" fillId="0" borderId="0" xfId="2" applyNumberFormat="1" applyFont="1" applyFill="1" applyBorder="1" applyAlignment="1">
      <alignment horizontal="center"/>
    </xf>
    <xf numFmtId="0" fontId="3" fillId="0" borderId="0" xfId="0" applyFont="1" applyAlignment="1">
      <alignment horizontal="center" vertical="center"/>
    </xf>
    <xf numFmtId="0" fontId="4" fillId="0" borderId="2" xfId="0" applyFont="1" applyBorder="1" applyAlignment="1">
      <alignment horizontal="center" vertical="center" wrapText="1"/>
    </xf>
    <xf numFmtId="0" fontId="4" fillId="0" borderId="5" xfId="0" applyFont="1" applyBorder="1" applyAlignment="1">
      <alignment vertical="center" wrapText="1"/>
    </xf>
    <xf numFmtId="0" fontId="4" fillId="0" borderId="0" xfId="0" applyFont="1" applyAlignment="1">
      <alignment horizontal="center" vertical="center"/>
    </xf>
    <xf numFmtId="0" fontId="19" fillId="3" borderId="5" xfId="0" applyFont="1" applyFill="1" applyBorder="1" applyAlignment="1">
      <alignment vertical="center" wrapText="1"/>
    </xf>
    <xf numFmtId="0" fontId="11" fillId="0" borderId="0" xfId="0" applyFont="1" applyAlignment="1">
      <alignment horizontal="center" vertical="center"/>
    </xf>
    <xf numFmtId="0" fontId="11" fillId="0" borderId="7" xfId="0" applyFont="1" applyBorder="1" applyAlignment="1">
      <alignment horizontal="center" vertical="center"/>
    </xf>
    <xf numFmtId="0" fontId="11" fillId="0" borderId="5" xfId="0" applyFont="1" applyBorder="1" applyAlignment="1">
      <alignment horizontal="left" vertical="center" wrapText="1"/>
    </xf>
    <xf numFmtId="0" fontId="11" fillId="6" borderId="0" xfId="0" applyFont="1" applyFill="1" applyAlignment="1">
      <alignment horizontal="center" vertical="center"/>
    </xf>
    <xf numFmtId="0" fontId="20" fillId="0" borderId="5" xfId="0" applyFont="1" applyBorder="1" applyAlignment="1">
      <alignment vertical="center" wrapText="1"/>
    </xf>
    <xf numFmtId="0" fontId="20" fillId="0" borderId="5" xfId="0" applyFont="1" applyBorder="1" applyAlignment="1">
      <alignment vertical="top" wrapText="1"/>
    </xf>
    <xf numFmtId="0" fontId="0" fillId="11" borderId="5" xfId="0" applyFill="1" applyBorder="1" applyAlignment="1">
      <alignment vertical="center" wrapText="1"/>
    </xf>
    <xf numFmtId="0" fontId="0" fillId="11" borderId="7" xfId="0" applyFill="1" applyBorder="1" applyAlignment="1">
      <alignment horizontal="center" vertical="center"/>
    </xf>
    <xf numFmtId="180" fontId="0" fillId="0" borderId="0" xfId="1" applyNumberFormat="1" applyFont="1" applyFill="1" applyBorder="1" applyAlignment="1">
      <alignment horizontal="center" vertical="center" wrapText="1"/>
    </xf>
    <xf numFmtId="10" fontId="10" fillId="0" borderId="0" xfId="2" applyNumberFormat="1" applyFont="1" applyFill="1" applyBorder="1" applyAlignment="1">
      <alignment horizontal="center"/>
    </xf>
    <xf numFmtId="10" fontId="1" fillId="0" borderId="0" xfId="2" applyNumberFormat="1" applyFont="1" applyFill="1" applyBorder="1" applyAlignment="1">
      <alignment horizontal="center"/>
    </xf>
    <xf numFmtId="0" fontId="19" fillId="0" borderId="0" xfId="0" applyFont="1" applyAlignment="1">
      <alignment vertical="center" wrapText="1"/>
    </xf>
    <xf numFmtId="0" fontId="0" fillId="11" borderId="5" xfId="0" applyFill="1" applyBorder="1" applyAlignment="1">
      <alignment horizontal="left" vertical="center"/>
    </xf>
    <xf numFmtId="0" fontId="0" fillId="11" borderId="0" xfId="0" applyFill="1" applyAlignment="1">
      <alignment horizontal="center" vertical="center" wrapText="1"/>
    </xf>
    <xf numFmtId="178" fontId="0" fillId="11" borderId="0" xfId="1" applyNumberFormat="1" applyFont="1" applyFill="1" applyBorder="1" applyAlignment="1">
      <alignment vertical="center" wrapText="1"/>
    </xf>
    <xf numFmtId="178" fontId="0" fillId="11" borderId="0" xfId="1" applyNumberFormat="1" applyFont="1" applyFill="1" applyBorder="1" applyAlignment="1"/>
    <xf numFmtId="178" fontId="0" fillId="11" borderId="0" xfId="2" applyNumberFormat="1" applyFont="1" applyFill="1" applyBorder="1" applyAlignment="1"/>
    <xf numFmtId="0" fontId="0" fillId="11" borderId="0" xfId="0" applyFill="1">
      <alignment vertical="center"/>
    </xf>
    <xf numFmtId="0" fontId="19" fillId="0" borderId="5" xfId="0" applyFont="1" applyBorder="1" applyAlignment="1">
      <alignment vertical="center" wrapText="1"/>
    </xf>
    <xf numFmtId="178" fontId="0" fillId="11" borderId="5" xfId="2" applyNumberFormat="1" applyFont="1" applyFill="1" applyBorder="1" applyAlignment="1"/>
    <xf numFmtId="180" fontId="0" fillId="11" borderId="0" xfId="2" applyNumberFormat="1" applyFont="1" applyFill="1" applyBorder="1" applyAlignment="1">
      <alignment horizontal="center" vertical="center"/>
    </xf>
    <xf numFmtId="178" fontId="0" fillId="11" borderId="7" xfId="2" applyNumberFormat="1" applyFont="1" applyFill="1" applyBorder="1" applyAlignment="1">
      <alignment horizontal="center" vertical="center"/>
    </xf>
    <xf numFmtId="180" fontId="0" fillId="11" borderId="0" xfId="0" applyNumberFormat="1" applyFill="1" applyAlignment="1">
      <alignment horizontal="center" vertical="center"/>
    </xf>
    <xf numFmtId="0" fontId="1" fillId="0" borderId="0" xfId="0" applyFont="1" applyAlignment="1">
      <alignment vertical="center" wrapText="1"/>
    </xf>
    <xf numFmtId="178" fontId="0" fillId="11" borderId="0" xfId="2" applyNumberFormat="1" applyFont="1" applyFill="1" applyBorder="1" applyAlignment="1">
      <alignment horizontal="center" vertical="center"/>
    </xf>
    <xf numFmtId="0" fontId="0" fillId="0" borderId="1" xfId="0" applyBorder="1" applyAlignment="1">
      <alignment vertical="center" wrapText="1"/>
    </xf>
    <xf numFmtId="0" fontId="0" fillId="11" borderId="5" xfId="0" applyFill="1" applyBorder="1" applyAlignment="1"/>
    <xf numFmtId="0" fontId="21" fillId="0" borderId="0" xfId="0" applyFont="1" applyAlignment="1">
      <alignment horizontal="left" vertical="center"/>
    </xf>
    <xf numFmtId="14" fontId="4" fillId="0" borderId="0" xfId="0" applyNumberFormat="1" applyFont="1" applyAlignment="1">
      <alignment vertical="center" wrapText="1"/>
    </xf>
    <xf numFmtId="0" fontId="3" fillId="3" borderId="5" xfId="0" applyFont="1" applyFill="1" applyBorder="1" applyAlignment="1">
      <alignment vertical="center" wrapText="1"/>
    </xf>
    <xf numFmtId="0" fontId="3" fillId="3" borderId="5" xfId="0" applyFont="1" applyFill="1" applyBorder="1" applyAlignment="1"/>
    <xf numFmtId="0" fontId="3" fillId="3" borderId="0" xfId="0" applyFont="1" applyFill="1" applyAlignment="1"/>
    <xf numFmtId="0" fontId="8" fillId="0" borderId="0" xfId="0" applyFont="1" applyAlignment="1">
      <alignment horizontal="left" vertical="center" wrapText="1"/>
    </xf>
    <xf numFmtId="0" fontId="11" fillId="0" borderId="5" xfId="0" applyFont="1" applyBorder="1" applyAlignment="1"/>
    <xf numFmtId="0" fontId="11" fillId="0" borderId="5" xfId="0" applyFont="1" applyBorder="1" applyAlignment="1">
      <alignment vertical="top" wrapText="1"/>
    </xf>
    <xf numFmtId="0" fontId="11" fillId="0" borderId="0" xfId="0" applyFont="1" applyAlignment="1">
      <alignment wrapText="1"/>
    </xf>
    <xf numFmtId="0" fontId="3" fillId="11" borderId="5" xfId="0" applyFont="1" applyFill="1" applyBorder="1" applyAlignment="1">
      <alignment vertical="center" wrapText="1"/>
    </xf>
    <xf numFmtId="0" fontId="3" fillId="11" borderId="5" xfId="0" applyFont="1" applyFill="1" applyBorder="1" applyAlignment="1"/>
    <xf numFmtId="0" fontId="3" fillId="11" borderId="0" xfId="0" applyFont="1" applyFill="1" applyAlignment="1"/>
    <xf numFmtId="14" fontId="21" fillId="0" borderId="0" xfId="0" applyNumberFormat="1" applyFont="1" applyAlignment="1">
      <alignment vertical="center" wrapText="1"/>
    </xf>
    <xf numFmtId="0" fontId="19" fillId="3" borderId="0" xfId="0" applyFont="1" applyFill="1" applyAlignment="1"/>
    <xf numFmtId="0" fontId="3" fillId="3" borderId="7" xfId="0" applyFont="1" applyFill="1" applyBorder="1" applyAlignment="1">
      <alignment vertical="center" wrapText="1"/>
    </xf>
    <xf numFmtId="0" fontId="3" fillId="3" borderId="0" xfId="0" applyFont="1" applyFill="1" applyAlignment="1">
      <alignment vertical="center" wrapText="1"/>
    </xf>
    <xf numFmtId="0" fontId="20" fillId="0" borderId="0" xfId="0" applyFont="1" applyAlignment="1">
      <alignment horizontal="center" vertical="center" wrapText="1"/>
    </xf>
    <xf numFmtId="0" fontId="11" fillId="0" borderId="7" xfId="0" applyFont="1" applyBorder="1" applyAlignment="1">
      <alignment horizontal="center" vertical="center" wrapText="1"/>
    </xf>
    <xf numFmtId="0" fontId="11" fillId="0" borderId="7" xfId="0" applyFont="1" applyBorder="1" applyAlignment="1">
      <alignment vertical="center" wrapText="1"/>
    </xf>
    <xf numFmtId="0" fontId="11" fillId="0" borderId="7" xfId="0" applyFont="1" applyBorder="1" applyAlignment="1">
      <alignment horizontal="left" vertical="center" wrapText="1"/>
    </xf>
    <xf numFmtId="0" fontId="8" fillId="0" borderId="0" xfId="0" applyFont="1" applyAlignment="1">
      <alignment horizontal="center" vertical="center" wrapText="1"/>
    </xf>
    <xf numFmtId="14" fontId="11" fillId="0" borderId="5" xfId="0" applyNumberFormat="1" applyFont="1" applyBorder="1">
      <alignment vertical="center"/>
    </xf>
    <xf numFmtId="14" fontId="11" fillId="0" borderId="7" xfId="0" applyNumberFormat="1" applyFont="1" applyBorder="1">
      <alignment vertical="center"/>
    </xf>
    <xf numFmtId="14" fontId="11" fillId="0" borderId="0" xfId="0" applyNumberFormat="1" applyFont="1">
      <alignment vertical="center"/>
    </xf>
    <xf numFmtId="179" fontId="11" fillId="0" borderId="5" xfId="0" applyNumberFormat="1" applyFont="1" applyBorder="1">
      <alignment vertical="center"/>
    </xf>
    <xf numFmtId="179" fontId="11" fillId="0" borderId="7" xfId="0" applyNumberFormat="1" applyFont="1" applyBorder="1">
      <alignment vertical="center"/>
    </xf>
    <xf numFmtId="179" fontId="11" fillId="0" borderId="0" xfId="0" applyNumberFormat="1" applyFont="1">
      <alignment vertical="center"/>
    </xf>
    <xf numFmtId="31" fontId="11" fillId="0" borderId="5" xfId="0" applyNumberFormat="1" applyFont="1" applyBorder="1">
      <alignment vertical="center"/>
    </xf>
    <xf numFmtId="31" fontId="11" fillId="0" borderId="7" xfId="0" applyNumberFormat="1" applyFont="1" applyBorder="1">
      <alignment vertical="center"/>
    </xf>
    <xf numFmtId="31" fontId="11" fillId="0" borderId="0" xfId="0" applyNumberFormat="1" applyFont="1">
      <alignment vertical="center"/>
    </xf>
    <xf numFmtId="0" fontId="11" fillId="0" borderId="5" xfId="0" applyFont="1" applyBorder="1">
      <alignment vertical="center"/>
    </xf>
    <xf numFmtId="0" fontId="11" fillId="0" borderId="7" xfId="0" applyFont="1" applyBorder="1">
      <alignment vertical="center"/>
    </xf>
    <xf numFmtId="0" fontId="11" fillId="0" borderId="0" xfId="0" applyFont="1">
      <alignment vertical="center"/>
    </xf>
    <xf numFmtId="57" fontId="11" fillId="0" borderId="5" xfId="0" applyNumberFormat="1" applyFont="1" applyBorder="1">
      <alignment vertical="center"/>
    </xf>
    <xf numFmtId="57" fontId="11" fillId="0" borderId="7" xfId="0" applyNumberFormat="1" applyFont="1" applyBorder="1">
      <alignment vertical="center"/>
    </xf>
    <xf numFmtId="57" fontId="11" fillId="0" borderId="0" xfId="0" applyNumberFormat="1" applyFont="1">
      <alignment vertical="center"/>
    </xf>
    <xf numFmtId="4" fontId="11" fillId="0" borderId="5" xfId="0" applyNumberFormat="1" applyFont="1" applyBorder="1">
      <alignment vertical="center"/>
    </xf>
    <xf numFmtId="4" fontId="11" fillId="0" borderId="7" xfId="0" applyNumberFormat="1" applyFont="1" applyBorder="1">
      <alignment vertical="center"/>
    </xf>
    <xf numFmtId="4" fontId="11" fillId="0" borderId="0" xfId="0" applyNumberFormat="1" applyFont="1">
      <alignment vertical="center"/>
    </xf>
    <xf numFmtId="0" fontId="20" fillId="0" borderId="0" xfId="0" applyFont="1" applyAlignment="1"/>
    <xf numFmtId="0" fontId="2" fillId="0" borderId="0" xfId="0" applyFont="1" applyAlignment="1">
      <alignment wrapText="1"/>
    </xf>
    <xf numFmtId="0" fontId="3" fillId="3" borderId="5" xfId="0" applyFont="1" applyFill="1" applyBorder="1">
      <alignment vertical="center"/>
    </xf>
    <xf numFmtId="0" fontId="3" fillId="3" borderId="7" xfId="0" applyFont="1" applyFill="1" applyBorder="1">
      <alignment vertical="center"/>
    </xf>
    <xf numFmtId="0" fontId="3" fillId="3" borderId="0" xfId="0" applyFont="1" applyFill="1">
      <alignment vertical="center"/>
    </xf>
    <xf numFmtId="0" fontId="0" fillId="11" borderId="7" xfId="0" applyFill="1" applyBorder="1">
      <alignment vertical="center"/>
    </xf>
    <xf numFmtId="0" fontId="3" fillId="11" borderId="5" xfId="0" applyFont="1" applyFill="1" applyBorder="1">
      <alignment vertical="center"/>
    </xf>
    <xf numFmtId="0" fontId="3" fillId="11" borderId="7" xfId="0" applyFont="1" applyFill="1" applyBorder="1">
      <alignment vertical="center"/>
    </xf>
    <xf numFmtId="0" fontId="3" fillId="11" borderId="0" xfId="0" applyFont="1" applyFill="1">
      <alignment vertical="center"/>
    </xf>
    <xf numFmtId="180" fontId="3" fillId="0" borderId="5" xfId="1" applyNumberFormat="1" applyFont="1" applyFill="1" applyBorder="1" applyAlignment="1">
      <alignment horizontal="center" vertical="center" wrapText="1"/>
    </xf>
    <xf numFmtId="180" fontId="3" fillId="0" borderId="7" xfId="1" applyNumberFormat="1" applyFont="1" applyFill="1" applyBorder="1" applyAlignment="1">
      <alignment horizontal="center" vertical="center" wrapText="1"/>
    </xf>
    <xf numFmtId="180" fontId="3" fillId="0" borderId="0" xfId="0" applyNumberFormat="1" applyFont="1" applyAlignment="1"/>
    <xf numFmtId="180" fontId="3" fillId="0" borderId="5" xfId="0" applyNumberFormat="1" applyFont="1" applyBorder="1" applyAlignment="1">
      <alignment horizontal="center" vertical="center"/>
    </xf>
    <xf numFmtId="180" fontId="3" fillId="0" borderId="7" xfId="0" applyNumberFormat="1" applyFont="1" applyBorder="1" applyAlignment="1">
      <alignment horizontal="center" vertical="center"/>
    </xf>
    <xf numFmtId="10" fontId="0" fillId="0" borderId="0" xfId="2" applyNumberFormat="1" applyFont="1" applyAlignment="1">
      <alignment horizontal="center" vertical="center"/>
    </xf>
    <xf numFmtId="10" fontId="3" fillId="0" borderId="7" xfId="2" applyNumberFormat="1" applyFont="1" applyBorder="1" applyAlignment="1">
      <alignment horizontal="center" vertical="center"/>
    </xf>
    <xf numFmtId="178" fontId="3" fillId="11" borderId="5" xfId="2" applyNumberFormat="1" applyFont="1" applyFill="1" applyBorder="1" applyAlignment="1">
      <alignment vertical="center"/>
    </xf>
    <xf numFmtId="178" fontId="3" fillId="11" borderId="7" xfId="2" applyNumberFormat="1" applyFont="1" applyFill="1" applyBorder="1" applyAlignment="1">
      <alignment vertical="center"/>
    </xf>
    <xf numFmtId="178" fontId="3" fillId="11" borderId="0" xfId="2" applyNumberFormat="1" applyFont="1" applyFill="1" applyBorder="1" applyAlignment="1">
      <alignment vertical="center"/>
    </xf>
    <xf numFmtId="0" fontId="3" fillId="0" borderId="5" xfId="0" applyFont="1" applyBorder="1">
      <alignment vertical="center"/>
    </xf>
    <xf numFmtId="0" fontId="3" fillId="0" borderId="7" xfId="0" applyFont="1" applyBorder="1">
      <alignment vertical="center"/>
    </xf>
    <xf numFmtId="43" fontId="3" fillId="0" borderId="5" xfId="1" applyFont="1" applyBorder="1" applyAlignment="1">
      <alignment horizontal="center" vertical="center"/>
    </xf>
    <xf numFmtId="43" fontId="0" fillId="0" borderId="0" xfId="1" applyFont="1" applyBorder="1" applyAlignment="1">
      <alignment horizontal="center" vertical="center"/>
    </xf>
    <xf numFmtId="180" fontId="0" fillId="0" borderId="7" xfId="0" applyNumberFormat="1" applyBorder="1" applyAlignment="1">
      <alignment horizontal="center" vertical="center"/>
    </xf>
    <xf numFmtId="43" fontId="18" fillId="0" borderId="5" xfId="1" applyFont="1" applyBorder="1" applyAlignment="1">
      <alignment horizontal="center" vertical="center"/>
    </xf>
    <xf numFmtId="0" fontId="10" fillId="0" borderId="0" xfId="0" applyFont="1" applyAlignment="1"/>
    <xf numFmtId="9" fontId="3" fillId="0" borderId="7" xfId="2" applyFont="1" applyBorder="1" applyAlignment="1">
      <alignment horizontal="center" vertical="center"/>
    </xf>
    <xf numFmtId="9" fontId="0" fillId="0" borderId="7" xfId="2" applyFont="1" applyBorder="1" applyAlignment="1">
      <alignment horizontal="center" vertical="center"/>
    </xf>
    <xf numFmtId="176" fontId="3" fillId="0" borderId="5" xfId="0" applyNumberFormat="1" applyFont="1" applyBorder="1">
      <alignment vertical="center"/>
    </xf>
    <xf numFmtId="176" fontId="3" fillId="0" borderId="7" xfId="0" applyNumberFormat="1" applyFont="1" applyBorder="1">
      <alignment vertical="center"/>
    </xf>
    <xf numFmtId="176" fontId="3" fillId="0" borderId="0" xfId="0" applyNumberFormat="1" applyFont="1">
      <alignment vertical="center"/>
    </xf>
    <xf numFmtId="0" fontId="7" fillId="3" borderId="7" xfId="0" applyFont="1" applyFill="1" applyBorder="1">
      <alignment vertical="center"/>
    </xf>
    <xf numFmtId="0" fontId="0" fillId="0" borderId="7" xfId="0" applyBorder="1">
      <alignment vertical="center"/>
    </xf>
    <xf numFmtId="178" fontId="0" fillId="11" borderId="7" xfId="2" applyNumberFormat="1" applyFont="1" applyFill="1" applyBorder="1" applyAlignment="1">
      <alignment vertical="center"/>
    </xf>
    <xf numFmtId="178" fontId="0" fillId="11" borderId="0" xfId="2" applyNumberFormat="1" applyFont="1" applyFill="1" applyBorder="1" applyAlignment="1">
      <alignment vertical="center"/>
    </xf>
    <xf numFmtId="0" fontId="0" fillId="0" borderId="1" xfId="0" applyBorder="1" applyAlignment="1"/>
    <xf numFmtId="176" fontId="0" fillId="0" borderId="0" xfId="0" applyNumberFormat="1" applyAlignment="1"/>
    <xf numFmtId="14" fontId="0" fillId="0" borderId="0" xfId="0" applyNumberFormat="1" applyAlignment="1"/>
    <xf numFmtId="0" fontId="0" fillId="0" borderId="8" xfId="0" applyBorder="1">
      <alignment vertical="center"/>
    </xf>
    <xf numFmtId="0" fontId="0" fillId="0" borderId="1" xfId="0" applyBorder="1">
      <alignment vertical="center"/>
    </xf>
    <xf numFmtId="0" fontId="2" fillId="12" borderId="0" xfId="0" applyFont="1" applyFill="1" applyAlignment="1">
      <alignment horizontal="center" vertical="center"/>
    </xf>
    <xf numFmtId="0" fontId="22" fillId="12" borderId="0" xfId="0" applyFont="1" applyFill="1">
      <alignment vertical="center"/>
    </xf>
    <xf numFmtId="0" fontId="22" fillId="12" borderId="0" xfId="0" applyFont="1" applyFill="1" applyAlignment="1">
      <alignment horizontal="center" vertical="center"/>
    </xf>
    <xf numFmtId="180" fontId="23" fillId="12" borderId="0" xfId="0" applyNumberFormat="1" applyFont="1" applyFill="1" applyAlignment="1">
      <alignment horizontal="right" vertical="center"/>
    </xf>
    <xf numFmtId="0" fontId="24" fillId="12" borderId="0" xfId="0" applyFont="1" applyFill="1">
      <alignment vertical="center"/>
    </xf>
    <xf numFmtId="0" fontId="22" fillId="12" borderId="0" xfId="0" applyFont="1" applyFill="1" applyAlignment="1">
      <alignment horizontal="right" vertical="center"/>
    </xf>
    <xf numFmtId="0" fontId="23" fillId="12" borderId="0" xfId="0" applyFont="1" applyFill="1">
      <alignment vertical="center"/>
    </xf>
    <xf numFmtId="9" fontId="25" fillId="0" borderId="0" xfId="2" applyFont="1" applyFill="1" applyAlignment="1">
      <alignment horizontal="right" vertical="center"/>
    </xf>
    <xf numFmtId="9" fontId="22" fillId="12" borderId="0" xfId="2" applyFont="1" applyFill="1">
      <alignment vertical="center"/>
    </xf>
    <xf numFmtId="0" fontId="26" fillId="12" borderId="0" xfId="0" applyFont="1" applyFill="1">
      <alignment vertical="center"/>
    </xf>
    <xf numFmtId="0" fontId="26" fillId="12" borderId="0" xfId="0" applyFont="1" applyFill="1" applyAlignment="1">
      <alignment horizontal="center" vertical="center"/>
    </xf>
    <xf numFmtId="9" fontId="26" fillId="12" borderId="0" xfId="2" applyFont="1" applyFill="1" applyAlignment="1">
      <alignment horizontal="left" vertical="center"/>
    </xf>
    <xf numFmtId="9" fontId="27" fillId="12" borderId="0" xfId="2" applyFont="1" applyFill="1" applyAlignment="1">
      <alignment horizontal="left" vertical="center"/>
    </xf>
    <xf numFmtId="0" fontId="27" fillId="12" borderId="0" xfId="0" applyFont="1" applyFill="1" applyAlignment="1">
      <alignment horizontal="left" vertical="center"/>
    </xf>
    <xf numFmtId="0" fontId="3" fillId="12" borderId="0" xfId="0" applyFont="1" applyFill="1">
      <alignment vertical="center"/>
    </xf>
    <xf numFmtId="0" fontId="28" fillId="12" borderId="0" xfId="0" applyFont="1" applyFill="1">
      <alignment vertical="center"/>
    </xf>
    <xf numFmtId="0" fontId="29" fillId="12" borderId="0" xfId="0" applyFont="1" applyFill="1" applyAlignment="1">
      <alignment horizontal="left" vertical="center"/>
    </xf>
    <xf numFmtId="0" fontId="30" fillId="12" borderId="0" xfId="0" applyFont="1" applyFill="1">
      <alignment vertical="center"/>
    </xf>
    <xf numFmtId="0" fontId="23" fillId="15" borderId="9" xfId="0" applyFont="1" applyFill="1" applyBorder="1" applyAlignment="1">
      <alignment vertical="center" wrapText="1"/>
    </xf>
    <xf numFmtId="0" fontId="22" fillId="15" borderId="10" xfId="0" applyFont="1" applyFill="1" applyBorder="1">
      <alignment vertical="center"/>
    </xf>
    <xf numFmtId="14" fontId="22" fillId="15" borderId="10" xfId="0" applyNumberFormat="1" applyFont="1" applyFill="1" applyBorder="1" applyAlignment="1">
      <alignment horizontal="left" vertical="center"/>
    </xf>
    <xf numFmtId="0" fontId="27" fillId="15" borderId="10" xfId="0" applyFont="1" applyFill="1" applyBorder="1">
      <alignment vertical="center"/>
    </xf>
    <xf numFmtId="0" fontId="22" fillId="15" borderId="11" xfId="0" applyFont="1" applyFill="1" applyBorder="1" applyAlignment="1">
      <alignment horizontal="center" vertical="center" wrapText="1"/>
    </xf>
    <xf numFmtId="0" fontId="22" fillId="15" borderId="12" xfId="0" applyFont="1" applyFill="1" applyBorder="1">
      <alignment vertical="center"/>
    </xf>
    <xf numFmtId="14" fontId="22" fillId="15" borderId="13" xfId="0" applyNumberFormat="1" applyFont="1" applyFill="1" applyBorder="1" applyAlignment="1">
      <alignment horizontal="left" vertical="center"/>
    </xf>
    <xf numFmtId="0" fontId="22" fillId="15" borderId="13" xfId="0" applyFont="1" applyFill="1" applyBorder="1">
      <alignment vertical="center"/>
    </xf>
    <xf numFmtId="0" fontId="27" fillId="15" borderId="13" xfId="0" applyFont="1" applyFill="1" applyBorder="1">
      <alignment vertical="center"/>
    </xf>
    <xf numFmtId="0" fontId="22" fillId="15" borderId="13" xfId="0" applyFont="1" applyFill="1" applyBorder="1" applyAlignment="1">
      <alignment horizontal="left" vertical="center"/>
    </xf>
    <xf numFmtId="0" fontId="22" fillId="15" borderId="12" xfId="0" applyFont="1" applyFill="1" applyBorder="1" applyAlignment="1">
      <alignment horizontal="left" vertical="center"/>
    </xf>
    <xf numFmtId="0" fontId="22" fillId="15" borderId="14" xfId="0" applyFont="1" applyFill="1" applyBorder="1">
      <alignment vertical="center"/>
    </xf>
    <xf numFmtId="0" fontId="22" fillId="15" borderId="1" xfId="0" applyFont="1" applyFill="1" applyBorder="1">
      <alignment vertical="center"/>
    </xf>
    <xf numFmtId="0" fontId="22" fillId="15" borderId="15" xfId="0" applyFont="1" applyFill="1" applyBorder="1" applyAlignment="1">
      <alignment horizontal="left" vertical="center"/>
    </xf>
    <xf numFmtId="0" fontId="22" fillId="15" borderId="15" xfId="0" applyFont="1" applyFill="1" applyBorder="1">
      <alignment vertical="center"/>
    </xf>
    <xf numFmtId="0" fontId="27" fillId="15" borderId="15" xfId="0" applyFont="1" applyFill="1" applyBorder="1">
      <alignment vertical="center"/>
    </xf>
    <xf numFmtId="0" fontId="23" fillId="15" borderId="16" xfId="0" applyFont="1" applyFill="1" applyBorder="1">
      <alignment vertical="center"/>
    </xf>
    <xf numFmtId="0" fontId="23" fillId="15" borderId="17" xfId="0" applyFont="1" applyFill="1" applyBorder="1">
      <alignment vertical="center"/>
    </xf>
    <xf numFmtId="9" fontId="23" fillId="15" borderId="16" xfId="2" applyFont="1" applyFill="1" applyBorder="1" applyAlignment="1">
      <alignment horizontal="left" vertical="center"/>
    </xf>
    <xf numFmtId="0" fontId="23" fillId="15" borderId="17" xfId="0" applyFont="1" applyFill="1" applyBorder="1" applyAlignment="1">
      <alignment vertical="center" wrapText="1"/>
    </xf>
    <xf numFmtId="9" fontId="22" fillId="16" borderId="20" xfId="2" applyFont="1" applyFill="1" applyBorder="1" applyAlignment="1">
      <alignment horizontal="center" vertical="center" wrapText="1"/>
    </xf>
    <xf numFmtId="0" fontId="22" fillId="16" borderId="21" xfId="0" applyFont="1" applyFill="1" applyBorder="1" applyAlignment="1">
      <alignment horizontal="center" vertical="center"/>
    </xf>
    <xf numFmtId="176" fontId="31" fillId="16" borderId="22" xfId="0" applyNumberFormat="1" applyFont="1" applyFill="1" applyBorder="1" applyAlignment="1">
      <alignment horizontal="center" vertical="center"/>
    </xf>
    <xf numFmtId="176" fontId="22" fillId="16" borderId="23" xfId="0" applyNumberFormat="1" applyFont="1" applyFill="1" applyBorder="1" applyAlignment="1">
      <alignment horizontal="center" vertical="center"/>
    </xf>
    <xf numFmtId="0" fontId="22" fillId="16" borderId="24" xfId="0" applyFont="1" applyFill="1" applyBorder="1" applyAlignment="1">
      <alignment horizontal="center" vertical="center"/>
    </xf>
    <xf numFmtId="9" fontId="33" fillId="17" borderId="27" xfId="2" applyFont="1" applyFill="1" applyBorder="1" applyAlignment="1">
      <alignment horizontal="left" vertical="center" wrapText="1"/>
    </xf>
    <xf numFmtId="0" fontId="33" fillId="17" borderId="28" xfId="0" applyFont="1" applyFill="1" applyBorder="1" applyAlignment="1">
      <alignment horizontal="center" vertical="center"/>
    </xf>
    <xf numFmtId="176" fontId="33" fillId="17" borderId="29" xfId="0" applyNumberFormat="1" applyFont="1" applyFill="1" applyBorder="1" applyAlignment="1">
      <alignment horizontal="center" vertical="center"/>
    </xf>
    <xf numFmtId="176" fontId="33" fillId="17" borderId="27" xfId="0" applyNumberFormat="1" applyFont="1" applyFill="1" applyBorder="1" applyAlignment="1">
      <alignment horizontal="center" vertical="center"/>
    </xf>
    <xf numFmtId="0" fontId="33" fillId="17" borderId="29" xfId="0" applyFont="1" applyFill="1" applyBorder="1" applyAlignment="1">
      <alignment horizontal="center" vertical="center"/>
    </xf>
    <xf numFmtId="180" fontId="23" fillId="18" borderId="30" xfId="0" applyNumberFormat="1" applyFont="1" applyFill="1" applyBorder="1" applyAlignment="1">
      <alignment horizontal="center" vertical="center"/>
    </xf>
    <xf numFmtId="180" fontId="23" fillId="18" borderId="31" xfId="0" applyNumberFormat="1" applyFont="1" applyFill="1" applyBorder="1" applyAlignment="1">
      <alignment horizontal="left" vertical="center"/>
    </xf>
    <xf numFmtId="180" fontId="23" fillId="18" borderId="27" xfId="2" applyNumberFormat="1" applyFont="1" applyFill="1" applyBorder="1" applyAlignment="1">
      <alignment horizontal="left" vertical="center" wrapText="1"/>
    </xf>
    <xf numFmtId="180" fontId="23" fillId="18" borderId="28" xfId="0" applyNumberFormat="1" applyFont="1" applyFill="1" applyBorder="1" applyAlignment="1">
      <alignment horizontal="right" vertical="center"/>
    </xf>
    <xf numFmtId="180" fontId="23" fillId="18" borderId="29" xfId="0" applyNumberFormat="1" applyFont="1" applyFill="1" applyBorder="1" applyAlignment="1">
      <alignment horizontal="right" vertical="center"/>
    </xf>
    <xf numFmtId="176" fontId="23" fillId="18" borderId="27" xfId="0" applyNumberFormat="1" applyFont="1" applyFill="1" applyBorder="1" applyAlignment="1">
      <alignment horizontal="right" vertical="center"/>
    </xf>
    <xf numFmtId="176" fontId="23" fillId="18" borderId="29" xfId="0" applyNumberFormat="1" applyFont="1" applyFill="1" applyBorder="1" applyAlignment="1">
      <alignment horizontal="right" vertical="center"/>
    </xf>
    <xf numFmtId="0" fontId="22" fillId="19" borderId="30" xfId="0" applyFont="1" applyFill="1" applyBorder="1" applyAlignment="1">
      <alignment horizontal="center" vertical="center" wrapText="1"/>
    </xf>
    <xf numFmtId="0" fontId="22" fillId="19" borderId="31" xfId="0" applyFont="1" applyFill="1" applyBorder="1" applyAlignment="1">
      <alignment horizontal="left" vertical="center" wrapText="1"/>
    </xf>
    <xf numFmtId="9" fontId="22" fillId="19" borderId="27" xfId="2" applyFont="1" applyFill="1" applyBorder="1" applyAlignment="1">
      <alignment horizontal="left" vertical="center" wrapText="1"/>
    </xf>
    <xf numFmtId="178" fontId="22" fillId="19" borderId="28" xfId="1" applyNumberFormat="1" applyFont="1" applyFill="1" applyBorder="1" applyAlignment="1">
      <alignment horizontal="right" vertical="center" wrapText="1"/>
    </xf>
    <xf numFmtId="178" fontId="22" fillId="19" borderId="29" xfId="1" applyNumberFormat="1" applyFont="1" applyFill="1" applyBorder="1" applyAlignment="1">
      <alignment horizontal="right"/>
    </xf>
    <xf numFmtId="178" fontId="22" fillId="19" borderId="27" xfId="1" applyNumberFormat="1" applyFont="1" applyFill="1" applyBorder="1" applyAlignment="1">
      <alignment horizontal="right" vertical="center" wrapText="1"/>
    </xf>
    <xf numFmtId="178" fontId="22" fillId="19" borderId="29" xfId="1" applyNumberFormat="1" applyFont="1" applyFill="1" applyBorder="1" applyAlignment="1">
      <alignment horizontal="right" vertical="center"/>
    </xf>
    <xf numFmtId="0" fontId="22" fillId="12" borderId="30" xfId="0" applyFont="1" applyFill="1" applyBorder="1" applyAlignment="1">
      <alignment horizontal="center" vertical="center" wrapText="1"/>
    </xf>
    <xf numFmtId="0" fontId="22" fillId="12" borderId="31" xfId="0" applyFont="1" applyFill="1" applyBorder="1" applyAlignment="1">
      <alignment horizontal="left" vertical="center" wrapText="1"/>
    </xf>
    <xf numFmtId="180" fontId="27" fillId="0" borderId="27" xfId="0" applyNumberFormat="1" applyFont="1" applyBorder="1" applyAlignment="1">
      <alignment horizontal="left" wrapText="1"/>
    </xf>
    <xf numFmtId="178" fontId="22" fillId="12" borderId="28" xfId="1" applyNumberFormat="1" applyFont="1" applyFill="1" applyBorder="1" applyAlignment="1">
      <alignment horizontal="right" vertical="center" wrapText="1"/>
    </xf>
    <xf numFmtId="178" fontId="22" fillId="12" borderId="29" xfId="1" applyNumberFormat="1" applyFont="1" applyFill="1" applyBorder="1" applyAlignment="1">
      <alignment horizontal="right"/>
    </xf>
    <xf numFmtId="178" fontId="22" fillId="0" borderId="27" xfId="1" applyNumberFormat="1" applyFont="1" applyFill="1" applyBorder="1" applyAlignment="1">
      <alignment horizontal="right" vertical="center" wrapText="1"/>
    </xf>
    <xf numFmtId="178" fontId="22" fillId="0" borderId="29" xfId="1" applyNumberFormat="1" applyFont="1" applyBorder="1" applyAlignment="1">
      <alignment horizontal="right" vertical="center"/>
    </xf>
    <xf numFmtId="0" fontId="23" fillId="16" borderId="30" xfId="0" applyFont="1" applyFill="1" applyBorder="1" applyAlignment="1">
      <alignment horizontal="center" vertical="center" wrapText="1"/>
    </xf>
    <xf numFmtId="0" fontId="23" fillId="16" borderId="31" xfId="0" applyFont="1" applyFill="1" applyBorder="1" applyAlignment="1">
      <alignment horizontal="left" vertical="center" wrapText="1"/>
    </xf>
    <xf numFmtId="9" fontId="23" fillId="16" borderId="27" xfId="2" applyFont="1" applyFill="1" applyBorder="1" applyAlignment="1">
      <alignment horizontal="left" vertical="center" wrapText="1"/>
    </xf>
    <xf numFmtId="178" fontId="23" fillId="16" borderId="28" xfId="1" applyNumberFormat="1" applyFont="1" applyFill="1" applyBorder="1" applyAlignment="1">
      <alignment horizontal="right" vertical="center" wrapText="1"/>
    </xf>
    <xf numFmtId="178" fontId="23" fillId="16" borderId="29" xfId="1" applyNumberFormat="1" applyFont="1" applyFill="1" applyBorder="1" applyAlignment="1">
      <alignment horizontal="right"/>
    </xf>
    <xf numFmtId="178" fontId="23" fillId="16" borderId="27" xfId="1" applyNumberFormat="1" applyFont="1" applyFill="1" applyBorder="1" applyAlignment="1">
      <alignment horizontal="right" vertical="center" wrapText="1"/>
    </xf>
    <xf numFmtId="178" fontId="23" fillId="16" borderId="29" xfId="1" applyNumberFormat="1" applyFont="1" applyFill="1" applyBorder="1" applyAlignment="1">
      <alignment horizontal="right" vertical="center" wrapText="1"/>
    </xf>
    <xf numFmtId="0" fontId="31" fillId="12" borderId="31" xfId="0" applyFont="1" applyFill="1" applyBorder="1" applyAlignment="1">
      <alignment vertical="center" wrapText="1"/>
    </xf>
    <xf numFmtId="9" fontId="29" fillId="12" borderId="27" xfId="2" applyFont="1" applyFill="1" applyBorder="1" applyAlignment="1">
      <alignment horizontal="left" vertical="center" wrapText="1"/>
    </xf>
    <xf numFmtId="178" fontId="31" fillId="12" borderId="28" xfId="1" applyNumberFormat="1" applyFont="1" applyFill="1" applyBorder="1" applyAlignment="1">
      <alignment horizontal="right" vertical="center" wrapText="1"/>
    </xf>
    <xf numFmtId="178" fontId="31" fillId="12" borderId="29" xfId="1" applyNumberFormat="1" applyFont="1" applyFill="1" applyBorder="1" applyAlignment="1">
      <alignment horizontal="right"/>
    </xf>
    <xf numFmtId="180" fontId="22" fillId="0" borderId="27" xfId="1" applyNumberFormat="1" applyFont="1" applyFill="1" applyBorder="1" applyAlignment="1">
      <alignment horizontal="right" vertical="center" wrapText="1"/>
    </xf>
    <xf numFmtId="178" fontId="31" fillId="0" borderId="27" xfId="1" applyNumberFormat="1" applyFont="1" applyFill="1" applyBorder="1" applyAlignment="1">
      <alignment horizontal="right" vertical="center" wrapText="1"/>
    </xf>
    <xf numFmtId="178" fontId="31" fillId="0" borderId="29" xfId="1" applyNumberFormat="1" applyFont="1" applyBorder="1" applyAlignment="1">
      <alignment horizontal="right" vertical="center"/>
    </xf>
    <xf numFmtId="0" fontId="31" fillId="12" borderId="30" xfId="0" applyFont="1" applyFill="1" applyBorder="1" applyAlignment="1">
      <alignment horizontal="center" vertical="center" wrapText="1"/>
    </xf>
    <xf numFmtId="178" fontId="31" fillId="12" borderId="29" xfId="1" applyNumberFormat="1" applyFont="1" applyFill="1" applyBorder="1" applyAlignment="1">
      <alignment horizontal="right" vertical="center"/>
    </xf>
    <xf numFmtId="0" fontId="24" fillId="12" borderId="30" xfId="0" applyFont="1" applyFill="1" applyBorder="1" applyAlignment="1">
      <alignment horizontal="center" vertical="center" wrapText="1"/>
    </xf>
    <xf numFmtId="0" fontId="24" fillId="12" borderId="31" xfId="0" applyFont="1" applyFill="1" applyBorder="1" applyAlignment="1">
      <alignment vertical="center" wrapText="1"/>
    </xf>
    <xf numFmtId="178" fontId="24" fillId="12" borderId="28" xfId="1" applyNumberFormat="1" applyFont="1" applyFill="1" applyBorder="1" applyAlignment="1">
      <alignment horizontal="right" vertical="center" wrapText="1"/>
    </xf>
    <xf numFmtId="178" fontId="24" fillId="12" borderId="29" xfId="1" applyNumberFormat="1" applyFont="1" applyFill="1" applyBorder="1" applyAlignment="1">
      <alignment horizontal="right"/>
    </xf>
    <xf numFmtId="178" fontId="24" fillId="0" borderId="27" xfId="1" applyNumberFormat="1" applyFont="1" applyFill="1" applyBorder="1" applyAlignment="1">
      <alignment horizontal="right" vertical="center" wrapText="1"/>
    </xf>
    <xf numFmtId="178" fontId="24" fillId="0" borderId="29" xfId="1" applyNumberFormat="1" applyFont="1" applyBorder="1" applyAlignment="1">
      <alignment horizontal="right" vertical="center"/>
    </xf>
    <xf numFmtId="0" fontId="34" fillId="0" borderId="30" xfId="0" applyFont="1" applyBorder="1" applyAlignment="1">
      <alignment horizontal="center" vertical="center" wrapText="1"/>
    </xf>
    <xf numFmtId="0" fontId="34" fillId="0" borderId="31" xfId="0" applyFont="1" applyBorder="1" applyAlignment="1">
      <alignment vertical="center" wrapText="1"/>
    </xf>
    <xf numFmtId="182" fontId="35" fillId="0" borderId="27" xfId="2" applyNumberFormat="1" applyFont="1" applyFill="1" applyBorder="1" applyAlignment="1">
      <alignment horizontal="left" vertical="center" wrapText="1"/>
    </xf>
    <xf numFmtId="178" fontId="34" fillId="0" borderId="28" xfId="1" applyNumberFormat="1" applyFont="1" applyFill="1" applyBorder="1" applyAlignment="1">
      <alignment horizontal="right" vertical="center" wrapText="1"/>
    </xf>
    <xf numFmtId="178" fontId="34" fillId="0" borderId="29" xfId="1" applyNumberFormat="1" applyFont="1" applyFill="1" applyBorder="1" applyAlignment="1">
      <alignment horizontal="right"/>
    </xf>
    <xf numFmtId="178" fontId="34" fillId="0" borderId="27" xfId="1" applyNumberFormat="1" applyFont="1" applyFill="1" applyBorder="1" applyAlignment="1">
      <alignment horizontal="right" vertical="center" wrapText="1"/>
    </xf>
    <xf numFmtId="178" fontId="34" fillId="0" borderId="29" xfId="1" applyNumberFormat="1" applyFont="1" applyFill="1" applyBorder="1" applyAlignment="1">
      <alignment horizontal="right" vertical="center"/>
    </xf>
    <xf numFmtId="182" fontId="27" fillId="12" borderId="27" xfId="2" applyNumberFormat="1" applyFont="1" applyFill="1" applyBorder="1" applyAlignment="1">
      <alignment horizontal="left" vertical="center" wrapText="1"/>
    </xf>
    <xf numFmtId="178" fontId="22" fillId="12" borderId="29" xfId="1" applyNumberFormat="1" applyFont="1" applyFill="1" applyBorder="1" applyAlignment="1">
      <alignment horizontal="right" vertical="center"/>
    </xf>
    <xf numFmtId="178" fontId="31" fillId="0" borderId="27" xfId="1" applyNumberFormat="1" applyFont="1" applyFill="1" applyBorder="1" applyAlignment="1">
      <alignment horizontal="right" vertical="center"/>
    </xf>
    <xf numFmtId="9" fontId="27" fillId="12" borderId="27" xfId="2" applyFont="1" applyFill="1" applyBorder="1" applyAlignment="1">
      <alignment horizontal="left" vertical="center" wrapText="1"/>
    </xf>
    <xf numFmtId="182" fontId="27" fillId="6" borderId="27" xfId="2" applyNumberFormat="1" applyFont="1" applyFill="1" applyBorder="1" applyAlignment="1">
      <alignment horizontal="left" vertical="center" wrapText="1"/>
    </xf>
    <xf numFmtId="178" fontId="22" fillId="0" borderId="27" xfId="1" applyNumberFormat="1" applyFont="1" applyFill="1" applyBorder="1" applyAlignment="1">
      <alignment horizontal="right" vertical="center"/>
    </xf>
    <xf numFmtId="178" fontId="22" fillId="12" borderId="29" xfId="1" applyNumberFormat="1" applyFont="1" applyFill="1" applyBorder="1" applyAlignment="1">
      <alignment horizontal="right" vertical="center" wrapText="1"/>
    </xf>
    <xf numFmtId="178" fontId="22" fillId="0" borderId="29" xfId="1" applyNumberFormat="1" applyFont="1" applyFill="1" applyBorder="1" applyAlignment="1">
      <alignment horizontal="right" vertical="center"/>
    </xf>
    <xf numFmtId="178" fontId="23" fillId="0" borderId="29" xfId="1" applyNumberFormat="1" applyFont="1" applyFill="1" applyBorder="1" applyAlignment="1">
      <alignment horizontal="right" vertical="center"/>
    </xf>
    <xf numFmtId="0" fontId="31" fillId="12" borderId="31" xfId="0" applyFont="1" applyFill="1" applyBorder="1" applyAlignment="1">
      <alignment horizontal="left" vertical="center" wrapText="1"/>
    </xf>
    <xf numFmtId="178" fontId="31" fillId="12" borderId="29" xfId="1" applyNumberFormat="1" applyFont="1" applyFill="1" applyBorder="1" applyAlignment="1">
      <alignment horizontal="right" vertical="center" wrapText="1"/>
    </xf>
    <xf numFmtId="178" fontId="31" fillId="0" borderId="29" xfId="1" applyNumberFormat="1" applyFont="1" applyFill="1" applyBorder="1" applyAlignment="1">
      <alignment horizontal="right" vertical="center"/>
    </xf>
    <xf numFmtId="0" fontId="34" fillId="19" borderId="30" xfId="0" applyFont="1" applyFill="1" applyBorder="1" applyAlignment="1">
      <alignment horizontal="center" vertical="center" wrapText="1"/>
    </xf>
    <xf numFmtId="0" fontId="34" fillId="19" borderId="31" xfId="0" applyFont="1" applyFill="1" applyBorder="1" applyAlignment="1">
      <alignment horizontal="left" vertical="center" wrapText="1"/>
    </xf>
    <xf numFmtId="9" fontId="34" fillId="19" borderId="27" xfId="2" applyFont="1" applyFill="1" applyBorder="1" applyAlignment="1">
      <alignment horizontal="left" vertical="center" wrapText="1"/>
    </xf>
    <xf numFmtId="178" fontId="34" fillId="19" borderId="28" xfId="1" applyNumberFormat="1" applyFont="1" applyFill="1" applyBorder="1" applyAlignment="1">
      <alignment horizontal="right" vertical="center" wrapText="1"/>
    </xf>
    <xf numFmtId="178" fontId="34" fillId="19" borderId="29" xfId="1" applyNumberFormat="1" applyFont="1" applyFill="1" applyBorder="1" applyAlignment="1">
      <alignment horizontal="right" vertical="center" wrapText="1"/>
    </xf>
    <xf numFmtId="178" fontId="34" fillId="19" borderId="27" xfId="1" applyNumberFormat="1" applyFont="1" applyFill="1" applyBorder="1" applyAlignment="1">
      <alignment horizontal="right" vertical="center" wrapText="1"/>
    </xf>
    <xf numFmtId="180" fontId="34" fillId="19" borderId="29" xfId="1" applyNumberFormat="1" applyFont="1" applyFill="1" applyBorder="1" applyAlignment="1">
      <alignment horizontal="right" vertical="center"/>
    </xf>
    <xf numFmtId="9" fontId="34" fillId="19" borderId="28" xfId="2" applyFont="1" applyFill="1" applyBorder="1" applyAlignment="1">
      <alignment horizontal="right" vertical="center" wrapText="1"/>
    </xf>
    <xf numFmtId="9" fontId="34" fillId="19" borderId="29" xfId="1" applyNumberFormat="1" applyFont="1" applyFill="1" applyBorder="1" applyAlignment="1">
      <alignment horizontal="right" vertical="center" wrapText="1"/>
    </xf>
    <xf numFmtId="9" fontId="34" fillId="19" borderId="29" xfId="1" applyNumberFormat="1" applyFont="1" applyFill="1" applyBorder="1" applyAlignment="1">
      <alignment horizontal="right" vertical="center"/>
    </xf>
    <xf numFmtId="0" fontId="23" fillId="19" borderId="30" xfId="0" applyFont="1" applyFill="1" applyBorder="1" applyAlignment="1">
      <alignment horizontal="center" vertical="center" wrapText="1"/>
    </xf>
    <xf numFmtId="0" fontId="23" fillId="19" borderId="31" xfId="0" applyFont="1" applyFill="1" applyBorder="1" applyAlignment="1">
      <alignment horizontal="left" vertical="center" wrapText="1"/>
    </xf>
    <xf numFmtId="9" fontId="23" fillId="19" borderId="27" xfId="2" applyFont="1" applyFill="1" applyBorder="1" applyAlignment="1">
      <alignment horizontal="left" vertical="center" wrapText="1"/>
    </xf>
    <xf numFmtId="178" fontId="36" fillId="19" borderId="28" xfId="1" applyNumberFormat="1" applyFont="1" applyFill="1" applyBorder="1" applyAlignment="1">
      <alignment horizontal="right" vertical="center" wrapText="1"/>
    </xf>
    <xf numFmtId="178" fontId="23" fillId="19" borderId="29" xfId="1" applyNumberFormat="1" applyFont="1" applyFill="1" applyBorder="1" applyAlignment="1">
      <alignment horizontal="right" vertical="center"/>
    </xf>
    <xf numFmtId="178" fontId="34" fillId="19" borderId="27" xfId="1" applyNumberFormat="1" applyFont="1" applyFill="1" applyBorder="1" applyAlignment="1">
      <alignment horizontal="right" vertical="center"/>
    </xf>
    <xf numFmtId="9" fontId="23" fillId="12" borderId="27" xfId="2" applyFont="1" applyFill="1" applyBorder="1" applyAlignment="1">
      <alignment horizontal="left" vertical="center" wrapText="1"/>
    </xf>
    <xf numFmtId="0" fontId="36" fillId="0" borderId="28" xfId="0" applyFont="1" applyBorder="1" applyAlignment="1">
      <alignment horizontal="right" vertical="center" wrapText="1"/>
    </xf>
    <xf numFmtId="43" fontId="23" fillId="0" borderId="29" xfId="1" applyFont="1" applyBorder="1" applyAlignment="1">
      <alignment horizontal="right" vertical="center"/>
    </xf>
    <xf numFmtId="9" fontId="22" fillId="12" borderId="27" xfId="2" applyFont="1" applyFill="1" applyBorder="1" applyAlignment="1">
      <alignment horizontal="left" vertical="center" wrapText="1"/>
    </xf>
    <xf numFmtId="0" fontId="27" fillId="0" borderId="28" xfId="0" applyFont="1" applyBorder="1" applyAlignment="1">
      <alignment horizontal="right" vertical="center" wrapText="1"/>
    </xf>
    <xf numFmtId="43" fontId="22" fillId="0" borderId="29" xfId="1" applyFont="1" applyBorder="1" applyAlignment="1">
      <alignment horizontal="right" vertical="center"/>
    </xf>
    <xf numFmtId="9" fontId="22" fillId="15" borderId="10" xfId="2" applyFont="1" applyFill="1" applyBorder="1" applyAlignment="1">
      <alignment horizontal="left" vertical="center"/>
    </xf>
    <xf numFmtId="0" fontId="27" fillId="15" borderId="13" xfId="0" applyFont="1" applyFill="1" applyBorder="1" applyAlignment="1">
      <alignment horizontal="left" vertical="center"/>
    </xf>
    <xf numFmtId="0" fontId="31" fillId="15" borderId="13" xfId="0" applyFont="1" applyFill="1" applyBorder="1">
      <alignment vertical="center"/>
    </xf>
    <xf numFmtId="9" fontId="22" fillId="15" borderId="13" xfId="2" applyFont="1" applyFill="1" applyBorder="1" applyAlignment="1">
      <alignment horizontal="left" vertical="center"/>
    </xf>
    <xf numFmtId="9" fontId="22" fillId="15" borderId="15" xfId="2" applyFont="1" applyFill="1" applyBorder="1" applyAlignment="1">
      <alignment horizontal="left" vertical="center"/>
    </xf>
    <xf numFmtId="0" fontId="27" fillId="15" borderId="15" xfId="0" applyFont="1" applyFill="1" applyBorder="1" applyAlignment="1">
      <alignment horizontal="left" vertical="center"/>
    </xf>
    <xf numFmtId="0" fontId="31" fillId="15" borderId="15" xfId="0" applyFont="1" applyFill="1" applyBorder="1">
      <alignment vertical="center"/>
    </xf>
    <xf numFmtId="9" fontId="23" fillId="15" borderId="17" xfId="2" applyFont="1" applyFill="1" applyBorder="1" applyAlignment="1">
      <alignment horizontal="left" vertical="center" wrapText="1"/>
    </xf>
    <xf numFmtId="0" fontId="36" fillId="15" borderId="17" xfId="0" applyFont="1" applyFill="1" applyBorder="1" applyAlignment="1">
      <alignment horizontal="left" vertical="center" wrapText="1"/>
    </xf>
    <xf numFmtId="0" fontId="34" fillId="15" borderId="17" xfId="0" applyFont="1" applyFill="1" applyBorder="1" applyAlignment="1">
      <alignment vertical="center" wrapText="1"/>
    </xf>
    <xf numFmtId="9" fontId="22" fillId="16" borderId="23" xfId="2" applyFont="1" applyFill="1" applyBorder="1" applyAlignment="1">
      <alignment horizontal="center" vertical="center" wrapText="1"/>
    </xf>
    <xf numFmtId="0" fontId="22" fillId="16" borderId="33" xfId="0" applyFont="1" applyFill="1" applyBorder="1" applyAlignment="1">
      <alignment horizontal="center" vertical="center"/>
    </xf>
    <xf numFmtId="0" fontId="22" fillId="16" borderId="25" xfId="0" applyFont="1" applyFill="1" applyBorder="1" applyAlignment="1">
      <alignment horizontal="center" vertical="center"/>
    </xf>
    <xf numFmtId="0" fontId="37" fillId="17" borderId="30" xfId="0" applyFont="1" applyFill="1" applyBorder="1" applyAlignment="1">
      <alignment horizontal="left" vertical="center"/>
    </xf>
    <xf numFmtId="176" fontId="31" fillId="17" borderId="37" xfId="0" applyNumberFormat="1" applyFont="1" applyFill="1" applyBorder="1" applyAlignment="1">
      <alignment horizontal="center" vertical="center"/>
    </xf>
    <xf numFmtId="176" fontId="31" fillId="17" borderId="38" xfId="0" applyNumberFormat="1" applyFont="1" applyFill="1" applyBorder="1" applyAlignment="1">
      <alignment horizontal="center" vertical="center"/>
    </xf>
    <xf numFmtId="0" fontId="31" fillId="17" borderId="39" xfId="0" applyFont="1" applyFill="1" applyBorder="1" applyAlignment="1">
      <alignment horizontal="center" vertical="center"/>
    </xf>
    <xf numFmtId="9" fontId="23" fillId="18" borderId="27" xfId="2" applyFont="1" applyFill="1" applyBorder="1" applyAlignment="1">
      <alignment horizontal="left" vertical="center" wrapText="1"/>
    </xf>
    <xf numFmtId="180" fontId="36" fillId="18" borderId="30" xfId="0" applyNumberFormat="1" applyFont="1" applyFill="1" applyBorder="1" applyAlignment="1">
      <alignment horizontal="left" vertical="center"/>
    </xf>
    <xf numFmtId="9" fontId="22" fillId="19" borderId="27" xfId="2" applyFont="1" applyFill="1" applyBorder="1" applyAlignment="1">
      <alignment horizontal="left" wrapText="1"/>
    </xf>
    <xf numFmtId="180" fontId="22" fillId="19" borderId="28" xfId="0" applyNumberFormat="1" applyFont="1" applyFill="1" applyBorder="1">
      <alignment vertical="center"/>
    </xf>
    <xf numFmtId="180" fontId="22" fillId="19" borderId="29" xfId="1" applyNumberFormat="1" applyFont="1" applyFill="1" applyBorder="1" applyAlignment="1">
      <alignment vertical="center"/>
    </xf>
    <xf numFmtId="180" fontId="27" fillId="19" borderId="30" xfId="1" applyNumberFormat="1" applyFont="1" applyFill="1" applyBorder="1" applyAlignment="1">
      <alignment horizontal="left" vertical="center"/>
    </xf>
    <xf numFmtId="9" fontId="27" fillId="0" borderId="27" xfId="2" applyFont="1" applyBorder="1" applyAlignment="1">
      <alignment horizontal="left" wrapText="1"/>
    </xf>
    <xf numFmtId="180" fontId="22" fillId="0" borderId="28" xfId="0" applyNumberFormat="1" applyFont="1" applyBorder="1">
      <alignment vertical="center"/>
    </xf>
    <xf numFmtId="180" fontId="22" fillId="0" borderId="29" xfId="1" applyNumberFormat="1" applyFont="1" applyFill="1" applyBorder="1" applyAlignment="1">
      <alignment vertical="center"/>
    </xf>
    <xf numFmtId="178" fontId="31" fillId="0" borderId="41" xfId="1" applyNumberFormat="1" applyFont="1" applyBorder="1" applyAlignment="1">
      <alignment horizontal="center" vertical="center"/>
    </xf>
    <xf numFmtId="180" fontId="27" fillId="0" borderId="30" xfId="1" applyNumberFormat="1" applyFont="1" applyFill="1" applyBorder="1" applyAlignment="1">
      <alignment horizontal="left" vertical="center"/>
    </xf>
    <xf numFmtId="9" fontId="36" fillId="16" borderId="27" xfId="2" applyFont="1" applyFill="1" applyBorder="1" applyAlignment="1">
      <alignment horizontal="left" wrapText="1"/>
    </xf>
    <xf numFmtId="178" fontId="23" fillId="16" borderId="28" xfId="1" applyNumberFormat="1" applyFont="1" applyFill="1" applyBorder="1" applyAlignment="1">
      <alignment vertical="center" wrapText="1"/>
    </xf>
    <xf numFmtId="178" fontId="23" fillId="16" borderId="29" xfId="1" applyNumberFormat="1" applyFont="1" applyFill="1" applyBorder="1" applyAlignment="1">
      <alignment vertical="center" wrapText="1"/>
    </xf>
    <xf numFmtId="178" fontId="36" fillId="16" borderId="30" xfId="1" applyNumberFormat="1" applyFont="1" applyFill="1" applyBorder="1" applyAlignment="1">
      <alignment horizontal="left" vertical="center" wrapText="1"/>
    </xf>
    <xf numFmtId="9" fontId="29" fillId="0" borderId="27" xfId="2" applyFont="1" applyBorder="1" applyAlignment="1">
      <alignment horizontal="left" wrapText="1"/>
    </xf>
    <xf numFmtId="180" fontId="22" fillId="0" borderId="28" xfId="0" applyNumberFormat="1" applyFont="1" applyBorder="1" applyAlignment="1">
      <alignment horizontal="right" vertical="center"/>
    </xf>
    <xf numFmtId="9" fontId="27" fillId="0" borderId="30" xfId="2" applyFont="1" applyFill="1" applyBorder="1" applyAlignment="1">
      <alignment horizontal="left" vertical="center"/>
    </xf>
    <xf numFmtId="180" fontId="31" fillId="0" borderId="28" xfId="0" applyNumberFormat="1" applyFont="1" applyBorder="1">
      <alignment vertical="center"/>
    </xf>
    <xf numFmtId="180" fontId="31" fillId="0" borderId="29" xfId="1" applyNumberFormat="1" applyFont="1" applyFill="1" applyBorder="1" applyAlignment="1">
      <alignment vertical="center"/>
    </xf>
    <xf numFmtId="9" fontId="38" fillId="0" borderId="27" xfId="2" applyFont="1" applyBorder="1" applyAlignment="1">
      <alignment horizontal="left" vertical="center" wrapText="1"/>
    </xf>
    <xf numFmtId="180" fontId="24" fillId="0" borderId="28" xfId="0" applyNumberFormat="1" applyFont="1" applyBorder="1">
      <alignment vertical="center"/>
    </xf>
    <xf numFmtId="180" fontId="24" fillId="0" borderId="29" xfId="1" applyNumberFormat="1" applyFont="1" applyFill="1" applyBorder="1" applyAlignment="1">
      <alignment vertical="center"/>
    </xf>
    <xf numFmtId="9" fontId="27" fillId="0" borderId="27" xfId="2" applyFont="1" applyBorder="1" applyAlignment="1">
      <alignment horizontal="left" vertical="center" wrapText="1"/>
    </xf>
    <xf numFmtId="9" fontId="35" fillId="0" borderId="27" xfId="2" applyFont="1" applyBorder="1" applyAlignment="1">
      <alignment horizontal="left" wrapText="1"/>
    </xf>
    <xf numFmtId="180" fontId="34" fillId="0" borderId="28" xfId="0" applyNumberFormat="1" applyFont="1" applyBorder="1">
      <alignment vertical="center"/>
    </xf>
    <xf numFmtId="180" fontId="34" fillId="0" borderId="29" xfId="1" applyNumberFormat="1" applyFont="1" applyFill="1" applyBorder="1" applyAlignment="1">
      <alignment vertical="center"/>
    </xf>
    <xf numFmtId="9" fontId="29" fillId="0" borderId="27" xfId="2" applyFont="1" applyBorder="1" applyAlignment="1">
      <alignment horizontal="left" vertical="center" wrapText="1"/>
    </xf>
    <xf numFmtId="180" fontId="34" fillId="19" borderId="28" xfId="1" applyNumberFormat="1" applyFont="1" applyFill="1" applyBorder="1" applyAlignment="1">
      <alignment horizontal="right" vertical="center"/>
    </xf>
    <xf numFmtId="178" fontId="35" fillId="19" borderId="30" xfId="1" applyNumberFormat="1" applyFont="1" applyFill="1" applyBorder="1" applyAlignment="1">
      <alignment horizontal="left" vertical="center" wrapText="1"/>
    </xf>
    <xf numFmtId="9" fontId="34" fillId="19" borderId="28" xfId="1" applyNumberFormat="1" applyFont="1" applyFill="1" applyBorder="1" applyAlignment="1">
      <alignment horizontal="right" vertical="center"/>
    </xf>
    <xf numFmtId="9" fontId="34" fillId="19" borderId="29" xfId="2" applyFont="1" applyFill="1" applyBorder="1" applyAlignment="1">
      <alignment horizontal="right" vertical="center" wrapText="1"/>
    </xf>
    <xf numFmtId="9" fontId="35" fillId="19" borderId="30" xfId="2" applyFont="1" applyFill="1" applyBorder="1" applyAlignment="1">
      <alignment horizontal="left" vertical="center" wrapText="1"/>
    </xf>
    <xf numFmtId="9" fontId="36" fillId="19" borderId="27" xfId="2" applyFont="1" applyFill="1" applyBorder="1" applyAlignment="1">
      <alignment horizontal="left" vertical="center" wrapText="1"/>
    </xf>
    <xf numFmtId="178" fontId="23" fillId="19" borderId="28" xfId="1" applyNumberFormat="1" applyFont="1" applyFill="1" applyBorder="1">
      <alignment vertical="center"/>
    </xf>
    <xf numFmtId="178" fontId="36" fillId="19" borderId="30" xfId="1" applyNumberFormat="1" applyFont="1" applyFill="1" applyBorder="1" applyAlignment="1">
      <alignment horizontal="left" vertical="center"/>
    </xf>
    <xf numFmtId="0" fontId="22" fillId="0" borderId="28" xfId="0" applyFont="1" applyBorder="1">
      <alignment vertical="center"/>
    </xf>
    <xf numFmtId="0" fontId="22" fillId="0" borderId="29" xfId="0" applyFont="1" applyBorder="1">
      <alignment vertical="center"/>
    </xf>
    <xf numFmtId="0" fontId="27" fillId="0" borderId="30" xfId="0" applyFont="1" applyBorder="1" applyAlignment="1">
      <alignment horizontal="left" vertical="center"/>
    </xf>
    <xf numFmtId="178" fontId="22" fillId="0" borderId="28" xfId="1" applyNumberFormat="1" applyFont="1" applyBorder="1">
      <alignment vertical="center"/>
    </xf>
    <xf numFmtId="0" fontId="29" fillId="15" borderId="10" xfId="0" applyFont="1" applyFill="1" applyBorder="1" applyAlignment="1">
      <alignment horizontal="left" vertical="center"/>
    </xf>
    <xf numFmtId="0" fontId="31" fillId="15" borderId="10" xfId="0" applyFont="1" applyFill="1" applyBorder="1">
      <alignment vertical="center"/>
    </xf>
    <xf numFmtId="0" fontId="31" fillId="15" borderId="44" xfId="0" applyFont="1" applyFill="1" applyBorder="1">
      <alignment vertical="center"/>
    </xf>
    <xf numFmtId="0" fontId="29" fillId="15" borderId="13" xfId="0" applyFont="1" applyFill="1" applyBorder="1" applyAlignment="1">
      <alignment horizontal="left" vertical="center"/>
    </xf>
    <xf numFmtId="0" fontId="31" fillId="15" borderId="45" xfId="0" applyFont="1" applyFill="1" applyBorder="1">
      <alignment vertical="center"/>
    </xf>
    <xf numFmtId="0" fontId="29" fillId="15" borderId="15" xfId="0" applyFont="1" applyFill="1" applyBorder="1" applyAlignment="1">
      <alignment horizontal="left" vertical="center"/>
    </xf>
    <xf numFmtId="0" fontId="31" fillId="15" borderId="46" xfId="0" applyFont="1" applyFill="1" applyBorder="1">
      <alignment vertical="center"/>
    </xf>
    <xf numFmtId="0" fontId="35" fillId="15" borderId="17" xfId="0" applyFont="1" applyFill="1" applyBorder="1" applyAlignment="1">
      <alignment horizontal="left" vertical="center" wrapText="1"/>
    </xf>
    <xf numFmtId="0" fontId="34" fillId="15" borderId="32" xfId="0" applyFont="1" applyFill="1" applyBorder="1" applyAlignment="1">
      <alignment vertical="center" wrapText="1"/>
    </xf>
    <xf numFmtId="176" fontId="31" fillId="16" borderId="47" xfId="0" applyNumberFormat="1" applyFont="1" applyFill="1" applyBorder="1" applyAlignment="1">
      <alignment horizontal="center" vertical="center" wrapText="1"/>
    </xf>
    <xf numFmtId="176" fontId="31" fillId="16" borderId="24" xfId="0" applyNumberFormat="1" applyFont="1" applyFill="1" applyBorder="1" applyAlignment="1">
      <alignment horizontal="center" vertical="center"/>
    </xf>
    <xf numFmtId="0" fontId="29" fillId="17" borderId="48" xfId="0" applyFont="1" applyFill="1" applyBorder="1" applyAlignment="1">
      <alignment horizontal="left" vertical="center"/>
    </xf>
    <xf numFmtId="176" fontId="34" fillId="17" borderId="49" xfId="0" applyNumberFormat="1" applyFont="1" applyFill="1" applyBorder="1" applyAlignment="1">
      <alignment horizontal="center" vertical="center" wrapText="1"/>
    </xf>
    <xf numFmtId="176" fontId="34" fillId="17" borderId="29" xfId="0" applyNumberFormat="1" applyFont="1" applyFill="1" applyBorder="1" applyAlignment="1">
      <alignment horizontal="center" vertical="center"/>
    </xf>
    <xf numFmtId="180" fontId="35" fillId="18" borderId="48" xfId="0" applyNumberFormat="1" applyFont="1" applyFill="1" applyBorder="1" applyAlignment="1">
      <alignment horizontal="left" vertical="center"/>
    </xf>
    <xf numFmtId="180" fontId="34" fillId="18" borderId="49" xfId="0" applyNumberFormat="1" applyFont="1" applyFill="1" applyBorder="1" applyAlignment="1">
      <alignment horizontal="right" vertical="center" wrapText="1"/>
    </xf>
    <xf numFmtId="180" fontId="34" fillId="18" borderId="29" xfId="0" applyNumberFormat="1" applyFont="1" applyFill="1" applyBorder="1" applyAlignment="1">
      <alignment horizontal="right" vertical="center"/>
    </xf>
    <xf numFmtId="178" fontId="29" fillId="19" borderId="48" xfId="1" applyNumberFormat="1" applyFont="1" applyFill="1" applyBorder="1" applyAlignment="1">
      <alignment horizontal="left" vertical="center"/>
    </xf>
    <xf numFmtId="178" fontId="31" fillId="19" borderId="49" xfId="1" applyNumberFormat="1" applyFont="1" applyFill="1" applyBorder="1" applyAlignment="1">
      <alignment horizontal="center" vertical="center"/>
    </xf>
    <xf numFmtId="178" fontId="31" fillId="19" borderId="29" xfId="1" applyNumberFormat="1" applyFont="1" applyFill="1" applyBorder="1" applyAlignment="1">
      <alignment horizontal="center" vertical="center"/>
    </xf>
    <xf numFmtId="180" fontId="27" fillId="0" borderId="49" xfId="0" applyNumberFormat="1" applyFont="1" applyBorder="1" applyAlignment="1">
      <alignment horizontal="left" wrapText="1"/>
    </xf>
    <xf numFmtId="178" fontId="31" fillId="0" borderId="49" xfId="1" applyNumberFormat="1" applyFont="1" applyBorder="1" applyAlignment="1">
      <alignment horizontal="center" vertical="center"/>
    </xf>
    <xf numFmtId="178" fontId="31" fillId="0" borderId="29" xfId="1" applyNumberFormat="1" applyFont="1" applyBorder="1" applyAlignment="1">
      <alignment horizontal="center" vertical="center"/>
    </xf>
    <xf numFmtId="178" fontId="35" fillId="16" borderId="48" xfId="1" applyNumberFormat="1" applyFont="1" applyFill="1" applyBorder="1" applyAlignment="1">
      <alignment horizontal="left" vertical="center" wrapText="1"/>
    </xf>
    <xf numFmtId="178" fontId="34" fillId="16" borderId="49" xfId="1" applyNumberFormat="1" applyFont="1" applyFill="1" applyBorder="1" applyAlignment="1">
      <alignment horizontal="center" vertical="center"/>
    </xf>
    <xf numFmtId="178" fontId="34" fillId="16" borderId="29" xfId="1" applyNumberFormat="1" applyFont="1" applyFill="1" applyBorder="1" applyAlignment="1">
      <alignment horizontal="center" vertical="center"/>
    </xf>
    <xf numFmtId="9" fontId="29" fillId="0" borderId="48" xfId="2" applyFont="1" applyBorder="1" applyAlignment="1">
      <alignment horizontal="left" vertical="center"/>
    </xf>
    <xf numFmtId="180" fontId="31" fillId="0" borderId="49" xfId="1" applyNumberFormat="1" applyFont="1" applyBorder="1" applyAlignment="1">
      <alignment horizontal="right" vertical="center"/>
    </xf>
    <xf numFmtId="9" fontId="29" fillId="0" borderId="48" xfId="2" applyFont="1" applyFill="1" applyBorder="1" applyAlignment="1">
      <alignment horizontal="left" vertical="center"/>
    </xf>
    <xf numFmtId="180" fontId="38" fillId="0" borderId="27" xfId="0" applyNumberFormat="1" applyFont="1" applyBorder="1" applyAlignment="1">
      <alignment horizontal="left" vertical="center" wrapText="1"/>
    </xf>
    <xf numFmtId="178" fontId="24" fillId="0" borderId="49" xfId="1" applyNumberFormat="1" applyFont="1" applyBorder="1" applyAlignment="1">
      <alignment horizontal="center" vertical="center"/>
    </xf>
    <xf numFmtId="178" fontId="24" fillId="0" borderId="29" xfId="1" applyNumberFormat="1" applyFont="1" applyBorder="1" applyAlignment="1">
      <alignment horizontal="center" vertical="center"/>
    </xf>
    <xf numFmtId="0" fontId="27" fillId="0" borderId="27" xfId="0" applyFont="1" applyBorder="1" applyAlignment="1">
      <alignment horizontal="left" vertical="center" wrapText="1"/>
    </xf>
    <xf numFmtId="9" fontId="35" fillId="0" borderId="27" xfId="0" applyNumberFormat="1" applyFont="1" applyBorder="1" applyAlignment="1">
      <alignment horizontal="left" wrapText="1"/>
    </xf>
    <xf numFmtId="178" fontId="34" fillId="0" borderId="49" xfId="1" applyNumberFormat="1" applyFont="1" applyFill="1" applyBorder="1" applyAlignment="1">
      <alignment horizontal="center" vertical="center"/>
    </xf>
    <xf numFmtId="178" fontId="34" fillId="0" borderId="29" xfId="1" applyNumberFormat="1" applyFont="1" applyFill="1" applyBorder="1" applyAlignment="1">
      <alignment horizontal="center" vertical="center"/>
    </xf>
    <xf numFmtId="180" fontId="27" fillId="0" borderId="27" xfId="0" applyNumberFormat="1" applyFont="1" applyBorder="1" applyAlignment="1">
      <alignment horizontal="left" vertical="center" wrapText="1"/>
    </xf>
    <xf numFmtId="9" fontId="27" fillId="0" borderId="27" xfId="0" applyNumberFormat="1" applyFont="1" applyBorder="1" applyAlignment="1">
      <alignment horizontal="left" vertical="center" wrapText="1"/>
    </xf>
    <xf numFmtId="178" fontId="34" fillId="0" borderId="49" xfId="1" applyNumberFormat="1" applyFont="1" applyBorder="1" applyAlignment="1">
      <alignment horizontal="center" vertical="center"/>
    </xf>
    <xf numFmtId="180" fontId="34" fillId="19" borderId="49" xfId="1" applyNumberFormat="1" applyFont="1" applyFill="1" applyBorder="1" applyAlignment="1">
      <alignment horizontal="right" vertical="center"/>
    </xf>
    <xf numFmtId="9" fontId="34" fillId="19" borderId="49" xfId="2" applyFont="1" applyFill="1" applyBorder="1" applyAlignment="1">
      <alignment horizontal="right" vertical="center"/>
    </xf>
    <xf numFmtId="178" fontId="23" fillId="19" borderId="49" xfId="1" applyNumberFormat="1" applyFont="1" applyFill="1" applyBorder="1">
      <alignment vertical="center"/>
    </xf>
    <xf numFmtId="178" fontId="35" fillId="0" borderId="30" xfId="1" applyNumberFormat="1" applyFont="1" applyFill="1" applyBorder="1" applyAlignment="1">
      <alignment horizontal="left" vertical="center" wrapText="1"/>
    </xf>
    <xf numFmtId="178" fontId="31" fillId="0" borderId="49" xfId="1" applyNumberFormat="1" applyFont="1" applyFill="1" applyBorder="1" applyAlignment="1">
      <alignment horizontal="center" vertical="center"/>
    </xf>
    <xf numFmtId="178" fontId="31" fillId="0" borderId="29" xfId="1" applyNumberFormat="1" applyFont="1" applyFill="1" applyBorder="1" applyAlignment="1">
      <alignment horizontal="center" vertical="center"/>
    </xf>
    <xf numFmtId="178" fontId="34" fillId="19" borderId="29" xfId="1" applyNumberFormat="1" applyFont="1" applyFill="1" applyBorder="1" applyAlignment="1">
      <alignment horizontal="right" vertical="center"/>
    </xf>
    <xf numFmtId="9" fontId="34" fillId="19" borderId="27" xfId="1" applyNumberFormat="1" applyFont="1" applyFill="1" applyBorder="1" applyAlignment="1">
      <alignment horizontal="right" vertical="center" wrapText="1"/>
    </xf>
    <xf numFmtId="178" fontId="23" fillId="19" borderId="28" xfId="1" applyNumberFormat="1" applyFont="1" applyFill="1" applyBorder="1" applyAlignment="1">
      <alignment horizontal="right" vertical="center" wrapText="1"/>
    </xf>
    <xf numFmtId="178" fontId="23" fillId="19" borderId="29" xfId="1" applyNumberFormat="1" applyFont="1" applyFill="1" applyBorder="1" applyAlignment="1">
      <alignment horizontal="right" vertical="center" wrapText="1"/>
    </xf>
    <xf numFmtId="9" fontId="23" fillId="19" borderId="50" xfId="2" applyFont="1" applyFill="1" applyBorder="1" applyAlignment="1">
      <alignment horizontal="left" vertical="center" wrapText="1"/>
    </xf>
    <xf numFmtId="178" fontId="34" fillId="19" borderId="51" xfId="1" applyNumberFormat="1" applyFont="1" applyFill="1" applyBorder="1" applyAlignment="1">
      <alignment horizontal="right" vertical="center" wrapText="1"/>
    </xf>
    <xf numFmtId="178" fontId="23" fillId="19" borderId="51" xfId="1" applyNumberFormat="1" applyFont="1" applyFill="1" applyBorder="1" applyAlignment="1">
      <alignment horizontal="right" vertical="center" wrapText="1"/>
    </xf>
    <xf numFmtId="9" fontId="22" fillId="19" borderId="50" xfId="2" applyFont="1" applyFill="1" applyBorder="1" applyAlignment="1">
      <alignment horizontal="left" vertical="center" wrapText="1"/>
    </xf>
    <xf numFmtId="178" fontId="31" fillId="19" borderId="51" xfId="1" applyNumberFormat="1" applyFont="1" applyFill="1" applyBorder="1" applyAlignment="1">
      <alignment horizontal="right" vertical="center" wrapText="1"/>
    </xf>
    <xf numFmtId="178" fontId="31" fillId="19" borderId="27" xfId="1" applyNumberFormat="1" applyFont="1" applyFill="1" applyBorder="1" applyAlignment="1">
      <alignment horizontal="right" vertical="center"/>
    </xf>
    <xf numFmtId="178" fontId="22" fillId="19" borderId="51" xfId="1" applyNumberFormat="1" applyFont="1" applyFill="1" applyBorder="1" applyAlignment="1">
      <alignment horizontal="right" vertical="center" wrapText="1"/>
    </xf>
    <xf numFmtId="9" fontId="33" fillId="17" borderId="50" xfId="2" applyFont="1" applyFill="1" applyBorder="1" applyAlignment="1">
      <alignment horizontal="left" vertical="center" wrapText="1"/>
    </xf>
    <xf numFmtId="0" fontId="33" fillId="17" borderId="48" xfId="0" applyFont="1" applyFill="1" applyBorder="1" applyAlignment="1">
      <alignment horizontal="center" vertical="center"/>
    </xf>
    <xf numFmtId="176" fontId="33" fillId="17" borderId="51" xfId="0" applyNumberFormat="1" applyFont="1" applyFill="1" applyBorder="1" applyAlignment="1">
      <alignment horizontal="center" vertical="center"/>
    </xf>
    <xf numFmtId="176" fontId="33" fillId="17" borderId="50" xfId="0" applyNumberFormat="1" applyFont="1" applyFill="1" applyBorder="1" applyAlignment="1">
      <alignment horizontal="center" vertical="center"/>
    </xf>
    <xf numFmtId="0" fontId="33" fillId="17" borderId="51" xfId="0" applyFont="1" applyFill="1" applyBorder="1" applyAlignment="1">
      <alignment horizontal="center" vertical="center"/>
    </xf>
    <xf numFmtId="9" fontId="27" fillId="16" borderId="27" xfId="2" applyFont="1" applyFill="1" applyBorder="1" applyAlignment="1">
      <alignment horizontal="center" vertical="center" wrapText="1"/>
    </xf>
    <xf numFmtId="0" fontId="22" fillId="16" borderId="28" xfId="0" applyFont="1" applyFill="1" applyBorder="1" applyAlignment="1">
      <alignment horizontal="center" vertical="center" wrapText="1"/>
    </xf>
    <xf numFmtId="0" fontId="22" fillId="16" borderId="27" xfId="0" applyFont="1" applyFill="1" applyBorder="1" applyAlignment="1">
      <alignment horizontal="center" vertical="center" wrapText="1"/>
    </xf>
    <xf numFmtId="180" fontId="23" fillId="19" borderId="30" xfId="0" applyNumberFormat="1" applyFont="1" applyFill="1" applyBorder="1" applyAlignment="1">
      <alignment horizontal="center" vertical="center"/>
    </xf>
    <xf numFmtId="180" fontId="23" fillId="19" borderId="31" xfId="0" applyNumberFormat="1" applyFont="1" applyFill="1" applyBorder="1" applyAlignment="1">
      <alignment horizontal="left" vertical="center"/>
    </xf>
    <xf numFmtId="180" fontId="23" fillId="19" borderId="27" xfId="2" applyNumberFormat="1" applyFont="1" applyFill="1" applyBorder="1" applyAlignment="1">
      <alignment horizontal="left" vertical="center" wrapText="1"/>
    </xf>
    <xf numFmtId="178" fontId="23" fillId="19" borderId="28" xfId="1" applyNumberFormat="1" applyFont="1" applyFill="1" applyBorder="1" applyAlignment="1">
      <alignment horizontal="right" vertical="center"/>
    </xf>
    <xf numFmtId="178" fontId="23" fillId="19" borderId="27" xfId="1" applyNumberFormat="1" applyFont="1" applyFill="1" applyBorder="1" applyAlignment="1">
      <alignment horizontal="right" vertical="center"/>
    </xf>
    <xf numFmtId="9" fontId="31" fillId="12" borderId="27" xfId="2" applyFont="1" applyFill="1" applyBorder="1" applyAlignment="1">
      <alignment horizontal="left" vertical="center" wrapText="1"/>
    </xf>
    <xf numFmtId="9" fontId="25" fillId="0" borderId="30" xfId="2" applyFont="1" applyFill="1" applyBorder="1" applyAlignment="1">
      <alignment horizontal="center" vertical="center"/>
    </xf>
    <xf numFmtId="9" fontId="25" fillId="0" borderId="31" xfId="2" applyFont="1" applyFill="1" applyBorder="1" applyAlignment="1">
      <alignment horizontal="left" vertical="center"/>
    </xf>
    <xf numFmtId="9" fontId="25" fillId="0" borderId="27" xfId="2" applyFont="1" applyFill="1" applyBorder="1" applyAlignment="1">
      <alignment horizontal="left" vertical="center" wrapText="1"/>
    </xf>
    <xf numFmtId="9" fontId="25" fillId="0" borderId="28" xfId="2" applyFont="1" applyFill="1" applyBorder="1" applyAlignment="1">
      <alignment horizontal="right" vertical="center"/>
    </xf>
    <xf numFmtId="9" fontId="25" fillId="0" borderId="29" xfId="2" applyFont="1" applyFill="1" applyBorder="1" applyAlignment="1">
      <alignment horizontal="right" vertical="center"/>
    </xf>
    <xf numFmtId="9" fontId="25" fillId="0" borderId="27" xfId="2" applyFont="1" applyFill="1" applyBorder="1" applyAlignment="1">
      <alignment horizontal="right" vertical="center"/>
    </xf>
    <xf numFmtId="182" fontId="22" fillId="12" borderId="27" xfId="2" applyNumberFormat="1" applyFont="1" applyFill="1" applyBorder="1" applyAlignment="1">
      <alignment horizontal="left" vertical="center" wrapText="1"/>
    </xf>
    <xf numFmtId="182" fontId="22" fillId="6" borderId="27" xfId="2" applyNumberFormat="1" applyFont="1" applyFill="1" applyBorder="1" applyAlignment="1">
      <alignment horizontal="left" vertical="center" wrapText="1"/>
    </xf>
    <xf numFmtId="178" fontId="23" fillId="19" borderId="27" xfId="1" applyNumberFormat="1" applyFont="1" applyFill="1" applyBorder="1" applyAlignment="1">
      <alignment horizontal="right" vertical="center" wrapText="1"/>
    </xf>
    <xf numFmtId="0" fontId="22" fillId="12" borderId="31" xfId="0" applyFont="1" applyFill="1" applyBorder="1" applyAlignment="1">
      <alignment horizontal="center" vertical="center" wrapText="1"/>
    </xf>
    <xf numFmtId="178" fontId="22" fillId="0" borderId="29" xfId="1" applyNumberFormat="1" applyFont="1" applyFill="1" applyBorder="1" applyAlignment="1">
      <alignment horizontal="right" vertical="center" wrapText="1"/>
    </xf>
    <xf numFmtId="0" fontId="32" fillId="17" borderId="52" xfId="0" applyFont="1" applyFill="1" applyBorder="1">
      <alignment vertical="center"/>
    </xf>
    <xf numFmtId="0" fontId="32" fillId="17" borderId="53" xfId="0" applyFont="1" applyFill="1" applyBorder="1">
      <alignment vertical="center"/>
    </xf>
    <xf numFmtId="9" fontId="32" fillId="17" borderId="50" xfId="2" applyFont="1" applyFill="1" applyBorder="1" applyAlignment="1">
      <alignment horizontal="left" vertical="center"/>
    </xf>
    <xf numFmtId="178" fontId="32" fillId="17" borderId="48" xfId="1" applyNumberFormat="1" applyFont="1" applyFill="1" applyBorder="1" applyAlignment="1">
      <alignment horizontal="right" vertical="center"/>
    </xf>
    <xf numFmtId="178" fontId="32" fillId="17" borderId="51" xfId="1" applyNumberFormat="1" applyFont="1" applyFill="1" applyBorder="1" applyAlignment="1">
      <alignment horizontal="right" vertical="center"/>
    </xf>
    <xf numFmtId="178" fontId="32" fillId="17" borderId="50" xfId="1" applyNumberFormat="1" applyFont="1" applyFill="1" applyBorder="1" applyAlignment="1">
      <alignment horizontal="right" vertical="center"/>
    </xf>
    <xf numFmtId="0" fontId="24" fillId="12" borderId="31" xfId="0" applyFont="1" applyFill="1" applyBorder="1" applyAlignment="1">
      <alignment horizontal="left" vertical="center" wrapText="1"/>
    </xf>
    <xf numFmtId="178" fontId="27" fillId="0" borderId="28" xfId="1" applyNumberFormat="1" applyFont="1" applyBorder="1" applyAlignment="1">
      <alignment horizontal="right" vertical="center" wrapText="1"/>
    </xf>
    <xf numFmtId="0" fontId="27" fillId="0" borderId="28" xfId="0" applyFont="1" applyBorder="1" applyAlignment="1">
      <alignment horizontal="left" vertical="center" wrapText="1"/>
    </xf>
    <xf numFmtId="43" fontId="22" fillId="0" borderId="29" xfId="1" applyFont="1" applyBorder="1">
      <alignment vertical="center"/>
    </xf>
    <xf numFmtId="178" fontId="31" fillId="0" borderId="27" xfId="1" applyNumberFormat="1" applyFont="1" applyFill="1" applyBorder="1" applyAlignment="1">
      <alignment horizontal="center" vertical="center"/>
    </xf>
    <xf numFmtId="0" fontId="36" fillId="0" borderId="28" xfId="0" applyFont="1" applyBorder="1" applyAlignment="1">
      <alignment horizontal="left" vertical="center" wrapText="1"/>
    </xf>
    <xf numFmtId="43" fontId="23" fillId="0" borderId="29" xfId="1" applyFont="1" applyBorder="1">
      <alignment vertical="center"/>
    </xf>
    <xf numFmtId="178" fontId="22" fillId="0" borderId="27" xfId="1" applyNumberFormat="1" applyFont="1" applyFill="1" applyBorder="1" applyAlignment="1">
      <alignment horizontal="center" vertical="center"/>
    </xf>
    <xf numFmtId="178" fontId="34" fillId="19" borderId="28" xfId="1" applyNumberFormat="1" applyFont="1" applyFill="1" applyBorder="1" applyAlignment="1">
      <alignment horizontal="right" vertical="center"/>
    </xf>
    <xf numFmtId="9" fontId="35" fillId="19" borderId="30" xfId="1" applyNumberFormat="1" applyFont="1" applyFill="1" applyBorder="1" applyAlignment="1">
      <alignment horizontal="left" vertical="center" wrapText="1"/>
    </xf>
    <xf numFmtId="178" fontId="36" fillId="19" borderId="27" xfId="2" applyNumberFormat="1" applyFont="1" applyFill="1" applyBorder="1" applyAlignment="1">
      <alignment horizontal="left" vertical="center" wrapText="1"/>
    </xf>
    <xf numFmtId="9" fontId="36" fillId="19" borderId="50" xfId="2" applyFont="1" applyFill="1" applyBorder="1" applyAlignment="1">
      <alignment horizontal="left" vertical="center" wrapText="1"/>
    </xf>
    <xf numFmtId="178" fontId="23" fillId="19" borderId="51" xfId="1" applyNumberFormat="1" applyFont="1" applyFill="1" applyBorder="1" applyAlignment="1">
      <alignment horizontal="right" vertical="center"/>
    </xf>
    <xf numFmtId="180" fontId="36" fillId="19" borderId="52" xfId="1" applyNumberFormat="1" applyFont="1" applyFill="1" applyBorder="1" applyAlignment="1">
      <alignment horizontal="left" vertical="center"/>
    </xf>
    <xf numFmtId="9" fontId="27" fillId="19" borderId="50" xfId="2" applyFont="1" applyFill="1" applyBorder="1" applyAlignment="1">
      <alignment horizontal="left" vertical="center" wrapText="1"/>
    </xf>
    <xf numFmtId="180" fontId="22" fillId="19" borderId="51" xfId="1" applyNumberFormat="1" applyFont="1" applyFill="1" applyBorder="1" applyAlignment="1">
      <alignment horizontal="right" vertical="center"/>
    </xf>
    <xf numFmtId="180" fontId="27" fillId="19" borderId="52" xfId="1" applyNumberFormat="1" applyFont="1" applyFill="1" applyBorder="1" applyAlignment="1">
      <alignment horizontal="left" vertical="center"/>
    </xf>
    <xf numFmtId="180" fontId="23" fillId="19" borderId="51" xfId="1" applyNumberFormat="1" applyFont="1" applyFill="1" applyBorder="1" applyAlignment="1">
      <alignment horizontal="right" vertical="center"/>
    </xf>
    <xf numFmtId="0" fontId="37" fillId="17" borderId="52" xfId="0" applyFont="1" applyFill="1" applyBorder="1" applyAlignment="1">
      <alignment horizontal="left" vertical="center"/>
    </xf>
    <xf numFmtId="176" fontId="31" fillId="17" borderId="39" xfId="0" applyNumberFormat="1" applyFont="1" applyFill="1" applyBorder="1" applyAlignment="1">
      <alignment horizontal="center" vertical="center"/>
    </xf>
    <xf numFmtId="9" fontId="27" fillId="16" borderId="27" xfId="2" applyFont="1" applyFill="1" applyBorder="1" applyAlignment="1">
      <alignment horizontal="center" vertical="center"/>
    </xf>
    <xf numFmtId="176" fontId="29" fillId="16" borderId="30" xfId="0" applyNumberFormat="1" applyFont="1" applyFill="1" applyBorder="1" applyAlignment="1">
      <alignment horizontal="center" vertical="center"/>
    </xf>
    <xf numFmtId="0" fontId="39" fillId="16" borderId="41" xfId="0" applyFont="1" applyFill="1" applyBorder="1" applyAlignment="1">
      <alignment horizontal="center" vertical="center"/>
    </xf>
    <xf numFmtId="0" fontId="39" fillId="16" borderId="37" xfId="0" applyFont="1" applyFill="1" applyBorder="1" applyAlignment="1">
      <alignment horizontal="center" vertical="center" wrapText="1"/>
    </xf>
    <xf numFmtId="176" fontId="39" fillId="16" borderId="41" xfId="0" applyNumberFormat="1" applyFont="1" applyFill="1" applyBorder="1" applyAlignment="1">
      <alignment horizontal="center" vertical="center"/>
    </xf>
    <xf numFmtId="0" fontId="39" fillId="16" borderId="53" xfId="0" applyFont="1" applyFill="1" applyBorder="1" applyAlignment="1">
      <alignment horizontal="center" vertical="center" wrapText="1"/>
    </xf>
    <xf numFmtId="178" fontId="40" fillId="19" borderId="29" xfId="1" applyNumberFormat="1" applyFont="1" applyFill="1" applyBorder="1" applyAlignment="1">
      <alignment horizontal="right" vertical="center"/>
    </xf>
    <xf numFmtId="180" fontId="34" fillId="19" borderId="41" xfId="0" applyNumberFormat="1" applyFont="1" applyFill="1" applyBorder="1" applyAlignment="1">
      <alignment horizontal="right" vertical="center"/>
    </xf>
    <xf numFmtId="180" fontId="41" fillId="19" borderId="41" xfId="0" applyNumberFormat="1" applyFont="1" applyFill="1" applyBorder="1" applyAlignment="1">
      <alignment horizontal="right" vertical="center"/>
    </xf>
    <xf numFmtId="178" fontId="34" fillId="19" borderId="41" xfId="1" applyNumberFormat="1" applyFont="1" applyFill="1" applyBorder="1" applyAlignment="1">
      <alignment horizontal="right" vertical="center"/>
    </xf>
    <xf numFmtId="178" fontId="41" fillId="19" borderId="57" xfId="1" applyNumberFormat="1" applyFont="1" applyFill="1" applyBorder="1" applyAlignment="1">
      <alignment horizontal="right" vertical="center"/>
    </xf>
    <xf numFmtId="178" fontId="40" fillId="12" borderId="29" xfId="1" applyNumberFormat="1" applyFont="1" applyFill="1" applyBorder="1" applyAlignment="1">
      <alignment horizontal="right"/>
    </xf>
    <xf numFmtId="9" fontId="27" fillId="12" borderId="30" xfId="2" applyFont="1" applyFill="1" applyBorder="1" applyAlignment="1">
      <alignment horizontal="left"/>
    </xf>
    <xf numFmtId="178" fontId="41" fillId="0" borderId="37" xfId="1" applyNumberFormat="1" applyFont="1" applyBorder="1" applyAlignment="1">
      <alignment horizontal="center" vertical="center"/>
    </xf>
    <xf numFmtId="178" fontId="41" fillId="0" borderId="40" xfId="1" applyNumberFormat="1" applyFont="1" applyBorder="1" applyAlignment="1">
      <alignment horizontal="center" vertical="center"/>
    </xf>
    <xf numFmtId="178" fontId="27" fillId="12" borderId="30" xfId="1" applyNumberFormat="1" applyFont="1" applyFill="1" applyBorder="1" applyAlignment="1">
      <alignment horizontal="left"/>
    </xf>
    <xf numFmtId="178" fontId="41" fillId="12" borderId="29" xfId="1" applyNumberFormat="1" applyFont="1" applyFill="1" applyBorder="1" applyAlignment="1">
      <alignment horizontal="right"/>
    </xf>
    <xf numFmtId="9" fontId="29" fillId="12" borderId="30" xfId="1" applyNumberFormat="1" applyFont="1" applyFill="1" applyBorder="1" applyAlignment="1">
      <alignment horizontal="left"/>
    </xf>
    <xf numFmtId="178" fontId="31" fillId="0" borderId="41" xfId="1" applyNumberFormat="1" applyFont="1" applyFill="1" applyBorder="1" applyAlignment="1">
      <alignment horizontal="center" vertical="center"/>
    </xf>
    <xf numFmtId="178" fontId="41" fillId="0" borderId="40" xfId="1" applyNumberFormat="1" applyFont="1" applyFill="1" applyBorder="1" applyAlignment="1">
      <alignment horizontal="center" vertical="center"/>
    </xf>
    <xf numFmtId="9" fontId="42" fillId="0" borderId="29" xfId="2" applyFont="1" applyFill="1" applyBorder="1" applyAlignment="1">
      <alignment horizontal="right" vertical="center"/>
    </xf>
    <xf numFmtId="9" fontId="25" fillId="0" borderId="30" xfId="2" applyFont="1" applyFill="1" applyBorder="1" applyAlignment="1">
      <alignment horizontal="left" vertical="center"/>
    </xf>
    <xf numFmtId="9" fontId="43" fillId="0" borderId="41" xfId="2" applyFont="1" applyFill="1" applyBorder="1" applyAlignment="1">
      <alignment horizontal="right" vertical="center"/>
    </xf>
    <xf numFmtId="9" fontId="44" fillId="0" borderId="41" xfId="2" applyFont="1" applyFill="1" applyBorder="1" applyAlignment="1">
      <alignment horizontal="right" vertical="center"/>
    </xf>
    <xf numFmtId="9" fontId="44" fillId="0" borderId="40" xfId="2" applyFont="1" applyFill="1" applyBorder="1" applyAlignment="1">
      <alignment horizontal="right" vertical="center"/>
    </xf>
    <xf numFmtId="178" fontId="41" fillId="19" borderId="41" xfId="1" applyNumberFormat="1" applyFont="1" applyFill="1" applyBorder="1" applyAlignment="1">
      <alignment horizontal="right" vertical="center"/>
    </xf>
    <xf numFmtId="178" fontId="40" fillId="12" borderId="29" xfId="1" applyNumberFormat="1" applyFont="1" applyFill="1" applyBorder="1" applyAlignment="1">
      <alignment horizontal="right" vertical="center"/>
    </xf>
    <xf numFmtId="9" fontId="27" fillId="12" borderId="30" xfId="1" applyNumberFormat="1" applyFont="1" applyFill="1" applyBorder="1" applyAlignment="1">
      <alignment horizontal="left" vertical="center"/>
    </xf>
    <xf numFmtId="178" fontId="31" fillId="0" borderId="41" xfId="1" applyNumberFormat="1" applyFont="1" applyFill="1" applyBorder="1" applyAlignment="1">
      <alignment horizontal="right" vertical="center"/>
    </xf>
    <xf numFmtId="178" fontId="31" fillId="0" borderId="41" xfId="1" applyNumberFormat="1" applyFont="1" applyBorder="1" applyAlignment="1">
      <alignment horizontal="right" vertical="center"/>
    </xf>
    <xf numFmtId="178" fontId="41" fillId="0" borderId="40" xfId="1" applyNumberFormat="1" applyFont="1" applyBorder="1" applyAlignment="1">
      <alignment horizontal="right" vertical="center"/>
    </xf>
    <xf numFmtId="9" fontId="27" fillId="12" borderId="30" xfId="1" applyNumberFormat="1" applyFont="1" applyFill="1" applyBorder="1" applyAlignment="1">
      <alignment horizontal="left"/>
    </xf>
    <xf numFmtId="178" fontId="40" fillId="12" borderId="29" xfId="1" applyNumberFormat="1" applyFont="1" applyFill="1" applyBorder="1" applyAlignment="1">
      <alignment horizontal="right" vertical="center" wrapText="1"/>
    </xf>
    <xf numFmtId="9" fontId="27" fillId="12" borderId="30" xfId="1" applyNumberFormat="1" applyFont="1" applyFill="1" applyBorder="1" applyAlignment="1">
      <alignment horizontal="left" vertical="center" wrapText="1"/>
    </xf>
    <xf numFmtId="178" fontId="31" fillId="0" borderId="41" xfId="1" applyNumberFormat="1" applyFont="1" applyFill="1" applyBorder="1" applyAlignment="1">
      <alignment horizontal="right" vertical="center" wrapText="1"/>
    </xf>
    <xf numFmtId="178" fontId="27" fillId="12" borderId="30" xfId="1" applyNumberFormat="1" applyFont="1" applyFill="1" applyBorder="1" applyAlignment="1">
      <alignment horizontal="left" vertical="center" wrapText="1"/>
    </xf>
    <xf numFmtId="178" fontId="41" fillId="0" borderId="37" xfId="1" applyNumberFormat="1" applyFont="1" applyFill="1" applyBorder="1" applyAlignment="1">
      <alignment horizontal="right" vertical="center" wrapText="1"/>
    </xf>
    <xf numFmtId="178" fontId="41" fillId="0" borderId="40" xfId="1" applyNumberFormat="1" applyFont="1" applyFill="1" applyBorder="1" applyAlignment="1">
      <alignment horizontal="right" vertical="center"/>
    </xf>
    <xf numFmtId="9" fontId="36" fillId="19" borderId="27" xfId="2" applyFont="1" applyFill="1" applyBorder="1" applyAlignment="1">
      <alignment horizontal="left" wrapText="1"/>
    </xf>
    <xf numFmtId="178" fontId="40" fillId="19" borderId="29" xfId="1" applyNumberFormat="1" applyFont="1" applyFill="1" applyBorder="1" applyAlignment="1">
      <alignment horizontal="right" vertical="center" wrapText="1"/>
    </xf>
    <xf numFmtId="9" fontId="36" fillId="19" borderId="30" xfId="1" applyNumberFormat="1" applyFont="1" applyFill="1" applyBorder="1" applyAlignment="1">
      <alignment horizontal="left" vertical="center" wrapText="1"/>
    </xf>
    <xf numFmtId="178" fontId="34" fillId="19" borderId="41" xfId="1" applyNumberFormat="1" applyFont="1" applyFill="1" applyBorder="1" applyAlignment="1">
      <alignment horizontal="right" vertical="center" wrapText="1"/>
    </xf>
    <xf numFmtId="178" fontId="41" fillId="19" borderId="41" xfId="1" applyNumberFormat="1" applyFont="1" applyFill="1" applyBorder="1" applyAlignment="1">
      <alignment horizontal="right" vertical="center" wrapText="1"/>
    </xf>
    <xf numFmtId="178" fontId="41" fillId="19" borderId="40" xfId="1" applyNumberFormat="1" applyFont="1" applyFill="1" applyBorder="1" applyAlignment="1">
      <alignment horizontal="right" vertical="center"/>
    </xf>
    <xf numFmtId="180" fontId="41" fillId="19" borderId="37" xfId="0" applyNumberFormat="1" applyFont="1" applyFill="1" applyBorder="1" applyAlignment="1">
      <alignment horizontal="right" vertical="center"/>
    </xf>
    <xf numFmtId="9" fontId="36" fillId="19" borderId="41" xfId="1" applyNumberFormat="1" applyFont="1" applyFill="1" applyBorder="1" applyAlignment="1">
      <alignment horizontal="left" vertical="center" wrapText="1"/>
    </xf>
    <xf numFmtId="9" fontId="42" fillId="19" borderId="40" xfId="1" applyNumberFormat="1" applyFont="1" applyFill="1" applyBorder="1" applyAlignment="1">
      <alignment horizontal="left" vertical="center" wrapText="1"/>
    </xf>
    <xf numFmtId="178" fontId="31" fillId="0" borderId="37" xfId="1" applyNumberFormat="1" applyFont="1" applyFill="1" applyBorder="1" applyAlignment="1">
      <alignment horizontal="right" vertical="center" wrapText="1"/>
    </xf>
    <xf numFmtId="178" fontId="31" fillId="0" borderId="40" xfId="1" applyNumberFormat="1" applyFont="1" applyFill="1" applyBorder="1" applyAlignment="1">
      <alignment horizontal="right" vertical="center" wrapText="1"/>
    </xf>
    <xf numFmtId="178" fontId="27" fillId="0" borderId="30" xfId="1" applyNumberFormat="1" applyFont="1" applyBorder="1" applyAlignment="1">
      <alignment horizontal="left" vertical="center"/>
    </xf>
    <xf numFmtId="178" fontId="22" fillId="0" borderId="29" xfId="1" applyNumberFormat="1" applyFont="1" applyBorder="1">
      <alignment vertical="center"/>
    </xf>
    <xf numFmtId="178" fontId="22" fillId="0" borderId="28" xfId="0" applyNumberFormat="1" applyFont="1" applyBorder="1">
      <alignment vertical="center"/>
    </xf>
    <xf numFmtId="178" fontId="31" fillId="0" borderId="28" xfId="1" applyNumberFormat="1" applyFont="1" applyFill="1" applyBorder="1" applyAlignment="1">
      <alignment horizontal="center" vertical="center"/>
    </xf>
    <xf numFmtId="178" fontId="29" fillId="0" borderId="30" xfId="1" applyNumberFormat="1" applyFont="1" applyFill="1" applyBorder="1" applyAlignment="1">
      <alignment horizontal="left" vertical="center"/>
    </xf>
    <xf numFmtId="178" fontId="22" fillId="0" borderId="29" xfId="0" applyNumberFormat="1" applyFont="1" applyBorder="1">
      <alignment vertical="center"/>
    </xf>
    <xf numFmtId="178" fontId="27" fillId="0" borderId="30" xfId="0" applyNumberFormat="1" applyFont="1" applyBorder="1" applyAlignment="1">
      <alignment horizontal="left" vertical="center"/>
    </xf>
    <xf numFmtId="178" fontId="34" fillId="19" borderId="49" xfId="1" applyNumberFormat="1" applyFont="1" applyFill="1" applyBorder="1" applyAlignment="1">
      <alignment horizontal="right" vertical="center"/>
    </xf>
    <xf numFmtId="9" fontId="34" fillId="19" borderId="49" xfId="1" applyNumberFormat="1" applyFont="1" applyFill="1" applyBorder="1" applyAlignment="1">
      <alignment horizontal="right" vertical="center"/>
    </xf>
    <xf numFmtId="178" fontId="34" fillId="19" borderId="49" xfId="1" applyNumberFormat="1" applyFont="1" applyFill="1" applyBorder="1" applyAlignment="1">
      <alignment horizontal="right" vertical="center" wrapText="1"/>
    </xf>
    <xf numFmtId="180" fontId="36" fillId="19" borderId="30" xfId="1" applyNumberFormat="1" applyFont="1" applyFill="1" applyBorder="1" applyAlignment="1">
      <alignment horizontal="left" vertical="center"/>
    </xf>
    <xf numFmtId="178" fontId="31" fillId="19" borderId="49" xfId="1" applyNumberFormat="1" applyFont="1" applyFill="1" applyBorder="1" applyAlignment="1">
      <alignment horizontal="right" vertical="center" wrapText="1"/>
    </xf>
    <xf numFmtId="176" fontId="34" fillId="17" borderId="48" xfId="0" applyNumberFormat="1" applyFont="1" applyFill="1" applyBorder="1" applyAlignment="1">
      <alignment horizontal="center" vertical="center" wrapText="1"/>
    </xf>
    <xf numFmtId="176" fontId="34" fillId="17" borderId="51" xfId="0" applyNumberFormat="1" applyFont="1" applyFill="1" applyBorder="1" applyAlignment="1">
      <alignment horizontal="center" vertical="center"/>
    </xf>
    <xf numFmtId="0" fontId="31" fillId="16" borderId="49" xfId="0" applyFont="1" applyFill="1" applyBorder="1" applyAlignment="1">
      <alignment horizontal="center" vertical="center"/>
    </xf>
    <xf numFmtId="0" fontId="22" fillId="16" borderId="58" xfId="0" applyFont="1" applyFill="1" applyBorder="1" applyAlignment="1">
      <alignment horizontal="center" vertical="center" wrapText="1"/>
    </xf>
    <xf numFmtId="178" fontId="35" fillId="19" borderId="48" xfId="1" applyNumberFormat="1" applyFont="1" applyFill="1" applyBorder="1" applyAlignment="1">
      <alignment horizontal="left" vertical="center"/>
    </xf>
    <xf numFmtId="180" fontId="34" fillId="19" borderId="49" xfId="0" applyNumberFormat="1" applyFont="1" applyFill="1" applyBorder="1" applyAlignment="1">
      <alignment horizontal="right" vertical="center" wrapText="1"/>
    </xf>
    <xf numFmtId="180" fontId="41" fillId="19" borderId="29" xfId="0" applyNumberFormat="1" applyFont="1" applyFill="1" applyBorder="1" applyAlignment="1">
      <alignment horizontal="right" vertical="center"/>
    </xf>
    <xf numFmtId="178" fontId="41" fillId="0" borderId="29" xfId="1" applyNumberFormat="1" applyFont="1" applyBorder="1" applyAlignment="1">
      <alignment horizontal="center" vertical="center"/>
    </xf>
    <xf numFmtId="9" fontId="29" fillId="0" borderId="49" xfId="2" applyFont="1" applyBorder="1" applyAlignment="1">
      <alignment horizontal="left" wrapText="1"/>
    </xf>
    <xf numFmtId="180" fontId="27" fillId="0" borderId="49" xfId="0" applyNumberFormat="1" applyFont="1" applyBorder="1" applyAlignment="1">
      <alignment horizontal="left" vertical="center" wrapText="1"/>
    </xf>
    <xf numFmtId="0" fontId="27" fillId="0" borderId="49" xfId="0" applyFont="1" applyBorder="1" applyAlignment="1">
      <alignment horizontal="left" vertical="center" wrapText="1"/>
    </xf>
    <xf numFmtId="9" fontId="43" fillId="0" borderId="48" xfId="2" applyFont="1" applyFill="1" applyBorder="1" applyAlignment="1">
      <alignment horizontal="left" vertical="center"/>
    </xf>
    <xf numFmtId="9" fontId="43" fillId="0" borderId="49" xfId="2" applyFont="1" applyFill="1" applyBorder="1" applyAlignment="1">
      <alignment horizontal="right" vertical="center" wrapText="1"/>
    </xf>
    <xf numFmtId="9" fontId="44" fillId="0" borderId="29" xfId="2" applyFont="1" applyFill="1" applyBorder="1" applyAlignment="1">
      <alignment horizontal="right" vertical="center"/>
    </xf>
    <xf numFmtId="9" fontId="27" fillId="0" borderId="49" xfId="2" applyFont="1" applyBorder="1" applyAlignment="1">
      <alignment horizontal="left" vertical="center" wrapText="1"/>
    </xf>
    <xf numFmtId="178" fontId="34" fillId="19" borderId="49" xfId="0" applyNumberFormat="1" applyFont="1" applyFill="1" applyBorder="1" applyAlignment="1">
      <alignment horizontal="right" vertical="center" wrapText="1"/>
    </xf>
    <xf numFmtId="178" fontId="41" fillId="19" borderId="29" xfId="0" applyNumberFormat="1" applyFont="1" applyFill="1" applyBorder="1" applyAlignment="1">
      <alignment horizontal="right" vertical="center"/>
    </xf>
    <xf numFmtId="178" fontId="29" fillId="0" borderId="48" xfId="1" applyNumberFormat="1" applyFont="1" applyFill="1" applyBorder="1" applyAlignment="1">
      <alignment horizontal="left" vertical="center"/>
    </xf>
    <xf numFmtId="9" fontId="36" fillId="19" borderId="38" xfId="1" applyNumberFormat="1" applyFont="1" applyFill="1" applyBorder="1" applyAlignment="1">
      <alignment horizontal="left" vertical="center" wrapText="1"/>
    </xf>
    <xf numFmtId="178" fontId="34" fillId="19" borderId="49" xfId="1" applyNumberFormat="1" applyFont="1" applyFill="1" applyBorder="1" applyAlignment="1">
      <alignment horizontal="center" vertical="center"/>
    </xf>
    <xf numFmtId="178" fontId="41" fillId="19" borderId="29" xfId="1" applyNumberFormat="1" applyFont="1" applyFill="1" applyBorder="1" applyAlignment="1">
      <alignment horizontal="center" vertical="center"/>
    </xf>
    <xf numFmtId="178" fontId="41" fillId="19" borderId="29" xfId="1" applyNumberFormat="1" applyFont="1" applyFill="1" applyBorder="1" applyAlignment="1">
      <alignment horizontal="right" vertical="center"/>
    </xf>
    <xf numFmtId="178" fontId="27" fillId="12" borderId="38" xfId="1" applyNumberFormat="1" applyFont="1" applyFill="1" applyBorder="1" applyAlignment="1">
      <alignment horizontal="left" vertical="center" wrapText="1"/>
    </xf>
    <xf numFmtId="178" fontId="31" fillId="12" borderId="49" xfId="1" applyNumberFormat="1" applyFont="1" applyFill="1" applyBorder="1" applyAlignment="1">
      <alignment horizontal="right" vertical="center" wrapText="1"/>
    </xf>
    <xf numFmtId="178" fontId="45" fillId="17" borderId="48" xfId="1" applyNumberFormat="1" applyFont="1" applyFill="1" applyBorder="1" applyAlignment="1">
      <alignment horizontal="left" vertical="center"/>
    </xf>
    <xf numFmtId="178" fontId="29" fillId="0" borderId="59" xfId="1" applyNumberFormat="1" applyFont="1" applyFill="1" applyBorder="1" applyAlignment="1">
      <alignment horizontal="left" vertical="center"/>
    </xf>
    <xf numFmtId="0" fontId="31" fillId="0" borderId="49" xfId="0" applyFont="1" applyBorder="1">
      <alignment vertical="center"/>
    </xf>
    <xf numFmtId="0" fontId="31" fillId="0" borderId="29" xfId="0" applyFont="1" applyBorder="1">
      <alignment vertical="center"/>
    </xf>
    <xf numFmtId="178" fontId="31" fillId="0" borderId="49" xfId="0" applyNumberFormat="1" applyFont="1" applyBorder="1">
      <alignment vertical="center"/>
    </xf>
    <xf numFmtId="178" fontId="31" fillId="0" borderId="49" xfId="1" applyNumberFormat="1" applyFont="1" applyBorder="1">
      <alignment vertical="center"/>
    </xf>
    <xf numFmtId="178" fontId="31" fillId="0" borderId="29" xfId="1" applyNumberFormat="1" applyFont="1" applyBorder="1">
      <alignment vertical="center"/>
    </xf>
    <xf numFmtId="178" fontId="31" fillId="0" borderId="29" xfId="0" applyNumberFormat="1" applyFont="1" applyBorder="1">
      <alignment vertical="center"/>
    </xf>
    <xf numFmtId="178" fontId="23" fillId="18" borderId="28" xfId="1" applyNumberFormat="1" applyFont="1" applyFill="1" applyBorder="1" applyAlignment="1">
      <alignment horizontal="right" vertical="center"/>
    </xf>
    <xf numFmtId="178" fontId="23" fillId="18" borderId="29" xfId="1" applyNumberFormat="1" applyFont="1" applyFill="1" applyBorder="1" applyAlignment="1">
      <alignment horizontal="right" vertical="center"/>
    </xf>
    <xf numFmtId="178" fontId="34" fillId="18" borderId="27" xfId="1" applyNumberFormat="1" applyFont="1" applyFill="1" applyBorder="1" applyAlignment="1">
      <alignment horizontal="right" vertical="center"/>
    </xf>
    <xf numFmtId="178" fontId="34" fillId="18" borderId="29" xfId="1" applyNumberFormat="1" applyFont="1" applyFill="1" applyBorder="1" applyAlignment="1">
      <alignment horizontal="right" vertical="center"/>
    </xf>
    <xf numFmtId="9" fontId="34" fillId="18" borderId="27" xfId="2" applyFont="1" applyFill="1" applyBorder="1" applyAlignment="1">
      <alignment horizontal="right" vertical="center"/>
    </xf>
    <xf numFmtId="9" fontId="34" fillId="18" borderId="29" xfId="1" applyNumberFormat="1" applyFont="1" applyFill="1" applyBorder="1" applyAlignment="1">
      <alignment horizontal="right" vertical="center"/>
    </xf>
    <xf numFmtId="0" fontId="32" fillId="17" borderId="30" xfId="0" applyFont="1" applyFill="1" applyBorder="1">
      <alignment vertical="center"/>
    </xf>
    <xf numFmtId="0" fontId="32" fillId="17" borderId="31" xfId="0" applyFont="1" applyFill="1" applyBorder="1">
      <alignment vertical="center"/>
    </xf>
    <xf numFmtId="9" fontId="31" fillId="13" borderId="27" xfId="2" applyFont="1" applyFill="1" applyBorder="1" applyAlignment="1">
      <alignment horizontal="left" vertical="center"/>
    </xf>
    <xf numFmtId="178" fontId="22" fillId="13" borderId="28" xfId="1" applyNumberFormat="1" applyFont="1" applyFill="1" applyBorder="1" applyAlignment="1">
      <alignment horizontal="center" vertical="center" wrapText="1"/>
    </xf>
    <xf numFmtId="178" fontId="22" fillId="13" borderId="29" xfId="1" applyNumberFormat="1" applyFont="1" applyFill="1" applyBorder="1" applyAlignment="1">
      <alignment horizontal="center" vertical="center"/>
    </xf>
    <xf numFmtId="178" fontId="22" fillId="13" borderId="27" xfId="1" applyNumberFormat="1" applyFont="1" applyFill="1" applyBorder="1" applyAlignment="1">
      <alignment horizontal="center" vertical="center" wrapText="1"/>
    </xf>
    <xf numFmtId="178" fontId="22" fillId="0" borderId="28" xfId="1" applyNumberFormat="1" applyFont="1" applyBorder="1" applyAlignment="1">
      <alignment horizontal="right" vertical="center" wrapText="1"/>
    </xf>
    <xf numFmtId="178" fontId="31" fillId="0" borderId="27" xfId="1" applyNumberFormat="1" applyFont="1" applyBorder="1" applyAlignment="1">
      <alignment horizontal="right" vertical="center"/>
    </xf>
    <xf numFmtId="178" fontId="22" fillId="0" borderId="27" xfId="1" applyNumberFormat="1" applyFont="1" applyBorder="1" applyAlignment="1">
      <alignment horizontal="right" vertical="center"/>
    </xf>
    <xf numFmtId="9" fontId="22" fillId="12" borderId="30" xfId="2" applyFont="1" applyFill="1" applyBorder="1" applyAlignment="1">
      <alignment horizontal="center" vertical="center" wrapText="1"/>
    </xf>
    <xf numFmtId="9" fontId="22" fillId="12" borderId="31" xfId="2" applyFont="1" applyFill="1" applyBorder="1" applyAlignment="1">
      <alignment horizontal="left" vertical="center" wrapText="1"/>
    </xf>
    <xf numFmtId="9" fontId="22" fillId="0" borderId="28" xfId="2" applyFont="1" applyBorder="1" applyAlignment="1">
      <alignment horizontal="right" vertical="center" wrapText="1"/>
    </xf>
    <xf numFmtId="9" fontId="22" fillId="0" borderId="29" xfId="2" applyFont="1" applyBorder="1" applyAlignment="1">
      <alignment horizontal="right" vertical="center"/>
    </xf>
    <xf numFmtId="178" fontId="22" fillId="13" borderId="28" xfId="1" applyNumberFormat="1" applyFont="1" applyFill="1" applyBorder="1" applyAlignment="1">
      <alignment horizontal="center" vertical="center"/>
    </xf>
    <xf numFmtId="178" fontId="22" fillId="13" borderId="27" xfId="1" applyNumberFormat="1" applyFont="1" applyFill="1" applyBorder="1" applyAlignment="1">
      <alignment horizontal="center" vertical="center"/>
    </xf>
    <xf numFmtId="0" fontId="22" fillId="12" borderId="31" xfId="0" applyFont="1" applyFill="1" applyBorder="1" applyAlignment="1">
      <alignment vertical="center" wrapText="1"/>
    </xf>
    <xf numFmtId="178" fontId="24" fillId="0" borderId="28" xfId="1" applyNumberFormat="1" applyFont="1" applyBorder="1" applyAlignment="1">
      <alignment horizontal="right" vertical="center" wrapText="1"/>
    </xf>
    <xf numFmtId="178" fontId="22" fillId="0" borderId="60" xfId="1" applyNumberFormat="1" applyFont="1" applyBorder="1" applyAlignment="1">
      <alignment horizontal="right" vertical="center"/>
    </xf>
    <xf numFmtId="178" fontId="22" fillId="0" borderId="49" xfId="1" applyNumberFormat="1" applyFont="1" applyBorder="1" applyAlignment="1">
      <alignment horizontal="right" vertical="center"/>
    </xf>
    <xf numFmtId="178" fontId="24" fillId="6" borderId="27" xfId="1" applyNumberFormat="1" applyFont="1" applyFill="1" applyBorder="1" applyAlignment="1">
      <alignment horizontal="right" vertical="center"/>
    </xf>
    <xf numFmtId="178" fontId="31" fillId="0" borderId="28" xfId="1" applyNumberFormat="1" applyFont="1" applyFill="1" applyBorder="1" applyAlignment="1">
      <alignment horizontal="right" vertical="center" wrapText="1"/>
    </xf>
    <xf numFmtId="9" fontId="22" fillId="0" borderId="27" xfId="2" applyFont="1" applyBorder="1" applyAlignment="1">
      <alignment horizontal="right" vertical="center"/>
    </xf>
    <xf numFmtId="0" fontId="22" fillId="12" borderId="61" xfId="0" applyFont="1" applyFill="1" applyBorder="1" applyAlignment="1">
      <alignment horizontal="center" vertical="center" wrapText="1"/>
    </xf>
    <xf numFmtId="0" fontId="22" fillId="12" borderId="62" xfId="0" applyFont="1" applyFill="1" applyBorder="1" applyAlignment="1">
      <alignment vertical="center" wrapText="1"/>
    </xf>
    <xf numFmtId="9" fontId="22" fillId="12" borderId="63" xfId="2" applyFont="1" applyFill="1" applyBorder="1" applyAlignment="1">
      <alignment horizontal="left" vertical="center" wrapText="1"/>
    </xf>
    <xf numFmtId="178" fontId="22" fillId="0" borderId="64" xfId="1" applyNumberFormat="1" applyFont="1" applyBorder="1" applyAlignment="1">
      <alignment horizontal="right" vertical="center" wrapText="1"/>
    </xf>
    <xf numFmtId="178" fontId="22" fillId="0" borderId="65" xfId="1" applyNumberFormat="1" applyFont="1" applyBorder="1" applyAlignment="1">
      <alignment horizontal="right" vertical="center"/>
    </xf>
    <xf numFmtId="178" fontId="22" fillId="0" borderId="63" xfId="1" applyNumberFormat="1" applyFont="1" applyBorder="1" applyAlignment="1">
      <alignment horizontal="right" vertical="center"/>
    </xf>
    <xf numFmtId="0" fontId="22" fillId="12" borderId="4" xfId="0" applyFont="1" applyFill="1" applyBorder="1" applyAlignment="1">
      <alignment horizontal="center" vertical="center" wrapText="1"/>
    </xf>
    <xf numFmtId="0" fontId="22" fillId="12" borderId="1" xfId="0" applyFont="1" applyFill="1" applyBorder="1" applyAlignment="1">
      <alignment vertical="center" wrapText="1"/>
    </xf>
    <xf numFmtId="9" fontId="22" fillId="12" borderId="1" xfId="2" applyFont="1" applyFill="1" applyBorder="1" applyAlignment="1">
      <alignment horizontal="left" vertical="center" wrapText="1"/>
    </xf>
    <xf numFmtId="178" fontId="22" fillId="0" borderId="1" xfId="1" applyNumberFormat="1" applyFont="1" applyBorder="1" applyAlignment="1">
      <alignment horizontal="right" vertical="center" wrapText="1"/>
    </xf>
    <xf numFmtId="178" fontId="22" fillId="0" borderId="1" xfId="1" applyNumberFormat="1" applyFont="1" applyBorder="1" applyAlignment="1">
      <alignment horizontal="right" vertical="center"/>
    </xf>
    <xf numFmtId="178" fontId="36" fillId="18" borderId="30" xfId="1" applyNumberFormat="1" applyFont="1" applyFill="1" applyBorder="1" applyAlignment="1">
      <alignment horizontal="left" vertical="center"/>
    </xf>
    <xf numFmtId="0" fontId="32" fillId="17" borderId="48" xfId="0" applyFont="1" applyFill="1" applyBorder="1">
      <alignment vertical="center"/>
    </xf>
    <xf numFmtId="0" fontId="32" fillId="17" borderId="51" xfId="0" applyFont="1" applyFill="1" applyBorder="1">
      <alignment vertical="center"/>
    </xf>
    <xf numFmtId="9" fontId="22" fillId="13" borderId="27" xfId="2" applyFont="1" applyFill="1" applyBorder="1" applyAlignment="1">
      <alignment horizontal="center" vertical="center" wrapText="1"/>
    </xf>
    <xf numFmtId="0" fontId="22" fillId="13" borderId="28" xfId="0" applyFont="1" applyFill="1" applyBorder="1" applyAlignment="1">
      <alignment horizontal="center" vertical="center" wrapText="1"/>
    </xf>
    <xf numFmtId="0" fontId="22" fillId="13" borderId="29" xfId="0" applyFont="1" applyFill="1" applyBorder="1" applyAlignment="1">
      <alignment horizontal="center" vertical="center"/>
    </xf>
    <xf numFmtId="0" fontId="22" fillId="13" borderId="30" xfId="0" applyFont="1" applyFill="1" applyBorder="1" applyAlignment="1">
      <alignment horizontal="center" vertical="center"/>
    </xf>
    <xf numFmtId="9" fontId="22" fillId="0" borderId="27" xfId="2" applyFont="1" applyBorder="1" applyAlignment="1">
      <alignment horizontal="left" vertical="center" wrapText="1"/>
    </xf>
    <xf numFmtId="178" fontId="31" fillId="0" borderId="28" xfId="1" applyNumberFormat="1" applyFont="1" applyBorder="1">
      <alignment vertical="center"/>
    </xf>
    <xf numFmtId="9" fontId="31" fillId="0" borderId="28" xfId="2" applyFont="1" applyFill="1" applyBorder="1" applyAlignment="1">
      <alignment vertical="center"/>
    </xf>
    <xf numFmtId="178" fontId="31" fillId="0" borderId="28" xfId="1" applyNumberFormat="1" applyFont="1" applyFill="1" applyBorder="1" applyAlignment="1">
      <alignment vertical="center"/>
    </xf>
    <xf numFmtId="178" fontId="31" fillId="0" borderId="28" xfId="1" applyNumberFormat="1" applyFont="1" applyBorder="1" applyAlignment="1">
      <alignment vertical="center"/>
    </xf>
    <xf numFmtId="9" fontId="22" fillId="0" borderId="28" xfId="2" applyFont="1" applyBorder="1">
      <alignment vertical="center"/>
    </xf>
    <xf numFmtId="9" fontId="27" fillId="0" borderId="30" xfId="2" applyFont="1" applyBorder="1" applyAlignment="1">
      <alignment horizontal="left" vertical="center"/>
    </xf>
    <xf numFmtId="178" fontId="27" fillId="0" borderId="30" xfId="1" applyNumberFormat="1" applyFont="1" applyFill="1" applyBorder="1" applyAlignment="1">
      <alignment horizontal="left" vertical="center"/>
    </xf>
    <xf numFmtId="9" fontId="22" fillId="0" borderId="63" xfId="2" applyFont="1" applyBorder="1" applyAlignment="1">
      <alignment horizontal="left" vertical="center" wrapText="1"/>
    </xf>
    <xf numFmtId="180" fontId="22" fillId="0" borderId="64" xfId="0" applyNumberFormat="1" applyFont="1" applyBorder="1">
      <alignment vertical="center"/>
    </xf>
    <xf numFmtId="178" fontId="27" fillId="0" borderId="61" xfId="1" applyNumberFormat="1" applyFont="1" applyBorder="1" applyAlignment="1">
      <alignment horizontal="left" vertical="center"/>
    </xf>
    <xf numFmtId="9" fontId="22" fillId="0" borderId="1" xfId="2" applyFont="1" applyBorder="1" applyAlignment="1">
      <alignment horizontal="left" vertical="center" wrapText="1"/>
    </xf>
    <xf numFmtId="180" fontId="22" fillId="0" borderId="1" xfId="0" applyNumberFormat="1" applyFont="1" applyBorder="1">
      <alignment vertical="center"/>
    </xf>
    <xf numFmtId="178" fontId="27" fillId="0" borderId="1" xfId="1" applyNumberFormat="1" applyFont="1" applyBorder="1" applyAlignment="1">
      <alignment horizontal="left" vertical="center"/>
    </xf>
    <xf numFmtId="178" fontId="31" fillId="0" borderId="0" xfId="1" applyNumberFormat="1" applyFont="1" applyFill="1" applyBorder="1" applyAlignment="1">
      <alignment horizontal="center" vertical="center"/>
    </xf>
    <xf numFmtId="178" fontId="35" fillId="18" borderId="59" xfId="1" applyNumberFormat="1" applyFont="1" applyFill="1" applyBorder="1" applyAlignment="1">
      <alignment horizontal="left" vertical="center"/>
    </xf>
    <xf numFmtId="0" fontId="35" fillId="17" borderId="48" xfId="0" applyFont="1" applyFill="1" applyBorder="1" applyAlignment="1">
      <alignment horizontal="left" vertical="center"/>
    </xf>
    <xf numFmtId="0" fontId="34" fillId="17" borderId="48" xfId="0" applyFont="1" applyFill="1" applyBorder="1">
      <alignment vertical="center"/>
    </xf>
    <xf numFmtId="0" fontId="34" fillId="17" borderId="51" xfId="0" applyFont="1" applyFill="1" applyBorder="1">
      <alignment vertical="center"/>
    </xf>
    <xf numFmtId="0" fontId="31" fillId="13" borderId="59" xfId="0" applyFont="1" applyFill="1" applyBorder="1" applyAlignment="1">
      <alignment horizontal="center" vertical="center"/>
    </xf>
    <xf numFmtId="0" fontId="31" fillId="13" borderId="49" xfId="0" applyFont="1" applyFill="1" applyBorder="1" applyAlignment="1">
      <alignment horizontal="center" vertical="center" wrapText="1"/>
    </xf>
    <xf numFmtId="180" fontId="31" fillId="13" borderId="29" xfId="0" applyNumberFormat="1" applyFont="1" applyFill="1" applyBorder="1" applyAlignment="1">
      <alignment horizontal="center" vertical="center"/>
    </xf>
    <xf numFmtId="178" fontId="29" fillId="0" borderId="59" xfId="1" applyNumberFormat="1" applyFont="1" applyBorder="1" applyAlignment="1">
      <alignment horizontal="left" vertical="center"/>
    </xf>
    <xf numFmtId="176" fontId="31" fillId="0" borderId="29" xfId="0" applyNumberFormat="1" applyFont="1" applyBorder="1">
      <alignment vertical="center"/>
    </xf>
    <xf numFmtId="178" fontId="31" fillId="0" borderId="49" xfId="1" applyNumberFormat="1" applyFont="1" applyFill="1" applyBorder="1" applyAlignment="1">
      <alignment vertical="center" wrapText="1"/>
    </xf>
    <xf numFmtId="9" fontId="31" fillId="0" borderId="49" xfId="2" applyFont="1" applyBorder="1">
      <alignment vertical="center"/>
    </xf>
    <xf numFmtId="9" fontId="31" fillId="0" borderId="29" xfId="2" applyFont="1" applyBorder="1" applyAlignment="1">
      <alignment horizontal="center" vertical="center"/>
    </xf>
    <xf numFmtId="176" fontId="31" fillId="0" borderId="29" xfId="2" applyNumberFormat="1" applyFont="1" applyBorder="1" applyAlignment="1">
      <alignment horizontal="center" vertical="center"/>
    </xf>
    <xf numFmtId="178" fontId="31" fillId="0" borderId="49" xfId="1" applyNumberFormat="1" applyFont="1" applyBorder="1" applyAlignment="1">
      <alignment horizontal="right" vertical="center"/>
    </xf>
    <xf numFmtId="9" fontId="31" fillId="0" borderId="29" xfId="2" applyFont="1" applyBorder="1" applyAlignment="1">
      <alignment horizontal="right" vertical="center"/>
    </xf>
    <xf numFmtId="176" fontId="31" fillId="0" borderId="29" xfId="2" applyNumberFormat="1" applyFont="1" applyBorder="1" applyAlignment="1">
      <alignment horizontal="right" vertical="center"/>
    </xf>
    <xf numFmtId="43" fontId="31" fillId="0" borderId="29" xfId="1" applyFont="1" applyBorder="1" applyAlignment="1">
      <alignment horizontal="center" vertical="center"/>
    </xf>
    <xf numFmtId="9" fontId="29" fillId="0" borderId="59" xfId="2" applyFont="1" applyBorder="1" applyAlignment="1">
      <alignment horizontal="left" vertical="center"/>
    </xf>
    <xf numFmtId="178" fontId="29" fillId="0" borderId="68" xfId="1" applyNumberFormat="1" applyFont="1" applyBorder="1" applyAlignment="1">
      <alignment horizontal="left" vertical="center"/>
    </xf>
    <xf numFmtId="178" fontId="31" fillId="0" borderId="69" xfId="1" applyNumberFormat="1" applyFont="1" applyBorder="1" applyAlignment="1">
      <alignment horizontal="center" vertical="center"/>
    </xf>
    <xf numFmtId="178" fontId="31" fillId="0" borderId="65" xfId="1" applyNumberFormat="1" applyFont="1" applyBorder="1" applyAlignment="1">
      <alignment horizontal="center" vertical="center"/>
    </xf>
    <xf numFmtId="178" fontId="29" fillId="0" borderId="1" xfId="1" applyNumberFormat="1" applyFont="1" applyBorder="1" applyAlignment="1">
      <alignment horizontal="left" vertical="center"/>
    </xf>
    <xf numFmtId="178" fontId="31" fillId="0" borderId="1" xfId="1" applyNumberFormat="1" applyFont="1" applyBorder="1" applyAlignment="1">
      <alignment horizontal="center" vertical="center"/>
    </xf>
    <xf numFmtId="180" fontId="2" fillId="12" borderId="0" xfId="0" applyNumberFormat="1" applyFont="1" applyFill="1">
      <alignment vertical="center"/>
    </xf>
    <xf numFmtId="177" fontId="27" fillId="12" borderId="0" xfId="2" applyNumberFormat="1" applyFont="1" applyFill="1" applyAlignment="1">
      <alignment horizontal="left" vertical="center"/>
    </xf>
    <xf numFmtId="177" fontId="26" fillId="12" borderId="0" xfId="0" applyNumberFormat="1" applyFont="1" applyFill="1">
      <alignment vertical="center"/>
    </xf>
    <xf numFmtId="0" fontId="47" fillId="12" borderId="0" xfId="0" applyFont="1" applyFill="1">
      <alignment vertical="center"/>
    </xf>
    <xf numFmtId="0" fontId="26" fillId="0" borderId="0" xfId="0" applyFont="1" applyAlignment="1">
      <alignment horizontal="center" vertical="center"/>
    </xf>
    <xf numFmtId="0" fontId="26" fillId="0" borderId="0" xfId="0" applyFont="1">
      <alignment vertical="center"/>
    </xf>
    <xf numFmtId="180" fontId="26" fillId="0" borderId="0" xfId="0" applyNumberFormat="1" applyFont="1">
      <alignment vertical="center"/>
    </xf>
    <xf numFmtId="0" fontId="27" fillId="0" borderId="0" xfId="0" applyFont="1">
      <alignment vertical="center"/>
    </xf>
    <xf numFmtId="0" fontId="2" fillId="0" borderId="0" xfId="0" applyFont="1" applyAlignment="1">
      <alignment horizontal="right" vertical="center"/>
    </xf>
    <xf numFmtId="0" fontId="26" fillId="0" borderId="0" xfId="0" applyFont="1" applyAlignment="1">
      <alignment horizontal="right" vertical="center"/>
    </xf>
    <xf numFmtId="180" fontId="26" fillId="12" borderId="0" xfId="0" applyNumberFormat="1" applyFont="1" applyFill="1">
      <alignment vertical="center"/>
    </xf>
    <xf numFmtId="180" fontId="26" fillId="12" borderId="0" xfId="0" applyNumberFormat="1" applyFont="1" applyFill="1" applyAlignment="1">
      <alignment horizontal="center" vertical="center"/>
    </xf>
    <xf numFmtId="0" fontId="23" fillId="19" borderId="73" xfId="0" applyFont="1" applyFill="1" applyBorder="1" applyAlignment="1">
      <alignment horizontal="center" vertical="center"/>
    </xf>
    <xf numFmtId="0" fontId="23" fillId="19" borderId="75" xfId="0" applyFont="1" applyFill="1" applyBorder="1" applyAlignment="1">
      <alignment horizontal="center" vertical="center"/>
    </xf>
    <xf numFmtId="180" fontId="23" fillId="19" borderId="74" xfId="0" applyNumberFormat="1" applyFont="1" applyFill="1" applyBorder="1" applyAlignment="1">
      <alignment horizontal="center" vertical="center"/>
    </xf>
    <xf numFmtId="0" fontId="9" fillId="12" borderId="76" xfId="0" applyFont="1" applyFill="1" applyBorder="1" applyAlignment="1">
      <alignment horizontal="center" vertical="center"/>
    </xf>
    <xf numFmtId="0" fontId="9" fillId="12" borderId="77" xfId="0" applyFont="1" applyFill="1" applyBorder="1">
      <alignment vertical="center"/>
    </xf>
    <xf numFmtId="0" fontId="9" fillId="12" borderId="78" xfId="0" applyFont="1" applyFill="1" applyBorder="1" applyAlignment="1">
      <alignment horizontal="center" vertical="center"/>
    </xf>
    <xf numFmtId="183" fontId="9" fillId="12" borderId="77" xfId="0" applyNumberFormat="1" applyFont="1" applyFill="1" applyBorder="1" applyAlignment="1">
      <alignment horizontal="right" vertical="center"/>
    </xf>
    <xf numFmtId="0" fontId="9" fillId="12" borderId="76" xfId="0" applyFont="1" applyFill="1" applyBorder="1">
      <alignment vertical="center"/>
    </xf>
    <xf numFmtId="176" fontId="9" fillId="12" borderId="77" xfId="0" applyNumberFormat="1" applyFont="1" applyFill="1" applyBorder="1" applyAlignment="1">
      <alignment horizontal="right" vertical="center"/>
    </xf>
    <xf numFmtId="183" fontId="9" fillId="12" borderId="77" xfId="0" applyNumberFormat="1" applyFont="1" applyFill="1" applyBorder="1">
      <alignment vertical="center"/>
    </xf>
    <xf numFmtId="176" fontId="9" fillId="12" borderId="77" xfId="0" applyNumberFormat="1" applyFont="1" applyFill="1" applyBorder="1">
      <alignment vertical="center"/>
    </xf>
    <xf numFmtId="0" fontId="9" fillId="12" borderId="79" xfId="0" applyFont="1" applyFill="1" applyBorder="1" applyAlignment="1">
      <alignment horizontal="center" vertical="center"/>
    </xf>
    <xf numFmtId="0" fontId="9" fillId="12" borderId="80" xfId="0" applyFont="1" applyFill="1" applyBorder="1">
      <alignment vertical="center"/>
    </xf>
    <xf numFmtId="0" fontId="9" fillId="12" borderId="81" xfId="0" applyFont="1" applyFill="1" applyBorder="1" applyAlignment="1">
      <alignment horizontal="center" vertical="center"/>
    </xf>
    <xf numFmtId="183" fontId="9" fillId="12" borderId="80" xfId="0" applyNumberFormat="1" applyFont="1" applyFill="1" applyBorder="1">
      <alignment vertical="center"/>
    </xf>
    <xf numFmtId="183" fontId="9" fillId="12" borderId="79" xfId="0" applyNumberFormat="1" applyFont="1" applyFill="1" applyBorder="1">
      <alignment vertical="center"/>
    </xf>
    <xf numFmtId="0" fontId="22" fillId="12" borderId="79" xfId="0" applyFont="1" applyFill="1" applyBorder="1" applyAlignment="1">
      <alignment horizontal="center" vertical="center"/>
    </xf>
    <xf numFmtId="0" fontId="22" fillId="12" borderId="80" xfId="0" applyFont="1" applyFill="1" applyBorder="1">
      <alignment vertical="center"/>
    </xf>
    <xf numFmtId="0" fontId="27" fillId="12" borderId="81" xfId="0" applyFont="1" applyFill="1" applyBorder="1" applyAlignment="1">
      <alignment horizontal="left" vertical="center"/>
    </xf>
    <xf numFmtId="183" fontId="22" fillId="12" borderId="80" xfId="0" applyNumberFormat="1" applyFont="1" applyFill="1" applyBorder="1">
      <alignment vertical="center"/>
    </xf>
    <xf numFmtId="0" fontId="27" fillId="12" borderId="79" xfId="0" applyFont="1" applyFill="1" applyBorder="1" applyAlignment="1">
      <alignment horizontal="left" vertical="center"/>
    </xf>
    <xf numFmtId="176" fontId="22" fillId="12" borderId="80" xfId="0" applyNumberFormat="1" applyFont="1" applyFill="1" applyBorder="1">
      <alignment vertical="center"/>
    </xf>
    <xf numFmtId="0" fontId="22" fillId="12" borderId="79" xfId="0" applyFont="1" applyFill="1" applyBorder="1">
      <alignment vertical="center"/>
    </xf>
    <xf numFmtId="0" fontId="27" fillId="12" borderId="81" xfId="0" applyFont="1" applyFill="1" applyBorder="1" applyAlignment="1">
      <alignment horizontal="left" vertical="center" wrapText="1"/>
    </xf>
    <xf numFmtId="0" fontId="27" fillId="12" borderId="79" xfId="0" applyFont="1" applyFill="1" applyBorder="1" applyAlignment="1">
      <alignment horizontal="left" vertical="center" wrapText="1"/>
    </xf>
    <xf numFmtId="0" fontId="22" fillId="12" borderId="81" xfId="0" applyFont="1" applyFill="1" applyBorder="1" applyAlignment="1">
      <alignment horizontal="left" vertical="center"/>
    </xf>
    <xf numFmtId="177" fontId="9" fillId="12" borderId="80" xfId="2" applyNumberFormat="1" applyFont="1" applyFill="1" applyBorder="1">
      <alignment vertical="center"/>
    </xf>
    <xf numFmtId="0" fontId="9" fillId="12" borderId="79" xfId="0" applyFont="1" applyFill="1" applyBorder="1">
      <alignment vertical="center"/>
    </xf>
    <xf numFmtId="43" fontId="9" fillId="12" borderId="82" xfId="0" applyNumberFormat="1" applyFont="1" applyFill="1" applyBorder="1">
      <alignment vertical="center"/>
    </xf>
    <xf numFmtId="0" fontId="9" fillId="12" borderId="81" xfId="0" applyFont="1" applyFill="1" applyBorder="1">
      <alignment vertical="center"/>
    </xf>
    <xf numFmtId="0" fontId="9" fillId="12" borderId="73" xfId="0" applyFont="1" applyFill="1" applyBorder="1" applyAlignment="1">
      <alignment horizontal="center" vertical="center"/>
    </xf>
    <xf numFmtId="0" fontId="9" fillId="12" borderId="74" xfId="0" applyFont="1" applyFill="1" applyBorder="1">
      <alignment vertical="center"/>
    </xf>
    <xf numFmtId="0" fontId="9" fillId="12" borderId="75" xfId="0" applyFont="1" applyFill="1" applyBorder="1" applyAlignment="1">
      <alignment horizontal="center" vertical="center"/>
    </xf>
    <xf numFmtId="9" fontId="9" fillId="12" borderId="74" xfId="2" applyFont="1" applyFill="1" applyBorder="1">
      <alignment vertical="center"/>
    </xf>
    <xf numFmtId="0" fontId="9" fillId="12" borderId="73" xfId="0" applyFont="1" applyFill="1" applyBorder="1">
      <alignment vertical="center"/>
    </xf>
    <xf numFmtId="9" fontId="9" fillId="12" borderId="82" xfId="2" applyFont="1" applyFill="1" applyBorder="1">
      <alignment vertical="center"/>
    </xf>
    <xf numFmtId="176" fontId="9" fillId="12" borderId="81" xfId="0" applyNumberFormat="1" applyFont="1" applyFill="1" applyBorder="1">
      <alignment vertical="center"/>
    </xf>
    <xf numFmtId="41" fontId="26" fillId="12" borderId="0" xfId="0" applyNumberFormat="1" applyFont="1" applyFill="1">
      <alignment vertical="center"/>
    </xf>
    <xf numFmtId="0" fontId="9" fillId="12" borderId="78" xfId="0" applyFont="1" applyFill="1" applyBorder="1">
      <alignment vertical="center"/>
    </xf>
    <xf numFmtId="183" fontId="2" fillId="12" borderId="77" xfId="0" applyNumberFormat="1" applyFont="1" applyFill="1" applyBorder="1">
      <alignment vertical="center"/>
    </xf>
    <xf numFmtId="183" fontId="9" fillId="12" borderId="81" xfId="0" applyNumberFormat="1" applyFont="1" applyFill="1" applyBorder="1">
      <alignment vertical="center"/>
    </xf>
    <xf numFmtId="183" fontId="23" fillId="12" borderId="80" xfId="0" applyNumberFormat="1" applyFont="1" applyFill="1" applyBorder="1">
      <alignment vertical="center"/>
    </xf>
    <xf numFmtId="0" fontId="22" fillId="12" borderId="81" xfId="0" applyFont="1" applyFill="1" applyBorder="1">
      <alignment vertical="center"/>
    </xf>
    <xf numFmtId="183" fontId="22" fillId="12" borderId="80" xfId="0" applyNumberFormat="1" applyFont="1" applyFill="1" applyBorder="1" applyAlignment="1">
      <alignment vertical="center" wrapText="1"/>
    </xf>
    <xf numFmtId="0" fontId="9" fillId="12" borderId="82" xfId="0" applyFont="1" applyFill="1" applyBorder="1">
      <alignment vertical="center"/>
    </xf>
    <xf numFmtId="9" fontId="9" fillId="12" borderId="75" xfId="2" applyFont="1" applyFill="1" applyBorder="1">
      <alignment vertical="center"/>
    </xf>
    <xf numFmtId="183" fontId="9" fillId="12" borderId="74" xfId="0" applyNumberFormat="1" applyFont="1" applyFill="1" applyBorder="1">
      <alignment vertical="center"/>
    </xf>
    <xf numFmtId="0" fontId="23" fillId="19" borderId="85" xfId="0" applyFont="1" applyFill="1" applyBorder="1" applyAlignment="1">
      <alignment horizontal="center" vertical="center"/>
    </xf>
    <xf numFmtId="183" fontId="9" fillId="12" borderId="78" xfId="0" applyNumberFormat="1" applyFont="1" applyFill="1" applyBorder="1">
      <alignment vertical="center"/>
    </xf>
    <xf numFmtId="176" fontId="9" fillId="12" borderId="78" xfId="0" applyNumberFormat="1" applyFont="1" applyFill="1" applyBorder="1">
      <alignment vertical="center"/>
    </xf>
    <xf numFmtId="176" fontId="9" fillId="12" borderId="76" xfId="0" applyNumberFormat="1" applyFont="1" applyFill="1" applyBorder="1">
      <alignment vertical="center"/>
    </xf>
    <xf numFmtId="183" fontId="22" fillId="12" borderId="77" xfId="0" applyNumberFormat="1" applyFont="1" applyFill="1" applyBorder="1">
      <alignment vertical="center"/>
    </xf>
    <xf numFmtId="43" fontId="9" fillId="12" borderId="80" xfId="0" applyNumberFormat="1" applyFont="1" applyFill="1" applyBorder="1">
      <alignment vertical="center"/>
    </xf>
    <xf numFmtId="43" fontId="9" fillId="12" borderId="81" xfId="0" applyNumberFormat="1" applyFont="1" applyFill="1" applyBorder="1">
      <alignment vertical="center"/>
    </xf>
    <xf numFmtId="176" fontId="9" fillId="12" borderId="79" xfId="0" applyNumberFormat="1" applyFont="1" applyFill="1" applyBorder="1">
      <alignment vertical="center"/>
    </xf>
    <xf numFmtId="43" fontId="22" fillId="12" borderId="80" xfId="0" applyNumberFormat="1" applyFont="1" applyFill="1" applyBorder="1">
      <alignment vertical="center"/>
    </xf>
    <xf numFmtId="43" fontId="22" fillId="12" borderId="81" xfId="0" applyNumberFormat="1" applyFont="1" applyFill="1" applyBorder="1">
      <alignment vertical="center"/>
    </xf>
    <xf numFmtId="176" fontId="27" fillId="12" borderId="81" xfId="0" applyNumberFormat="1" applyFont="1" applyFill="1" applyBorder="1" applyAlignment="1">
      <alignment horizontal="left" vertical="center"/>
    </xf>
    <xf numFmtId="43" fontId="22" fillId="12" borderId="79" xfId="0" applyNumberFormat="1" applyFont="1" applyFill="1" applyBorder="1">
      <alignment vertical="center"/>
    </xf>
    <xf numFmtId="43" fontId="27" fillId="12" borderId="81" xfId="0" applyNumberFormat="1" applyFont="1" applyFill="1" applyBorder="1" applyAlignment="1">
      <alignment vertical="center" wrapText="1"/>
    </xf>
    <xf numFmtId="43" fontId="22" fillId="12" borderId="86" xfId="0" applyNumberFormat="1" applyFont="1" applyFill="1" applyBorder="1">
      <alignment vertical="center"/>
    </xf>
    <xf numFmtId="176" fontId="22" fillId="12" borderId="81" xfId="0" applyNumberFormat="1" applyFont="1" applyFill="1" applyBorder="1">
      <alignment vertical="center"/>
    </xf>
    <xf numFmtId="176" fontId="22" fillId="12" borderId="79" xfId="0" applyNumberFormat="1" applyFont="1" applyFill="1" applyBorder="1">
      <alignment vertical="center"/>
    </xf>
    <xf numFmtId="177" fontId="9" fillId="12" borderId="81" xfId="2" applyNumberFormat="1" applyFont="1" applyFill="1" applyBorder="1">
      <alignment vertical="center"/>
    </xf>
    <xf numFmtId="176" fontId="9" fillId="12" borderId="82" xfId="0" applyNumberFormat="1" applyFont="1" applyFill="1" applyBorder="1">
      <alignment vertical="center"/>
    </xf>
    <xf numFmtId="9" fontId="9" fillId="12" borderId="73" xfId="2" applyFont="1" applyFill="1" applyBorder="1">
      <alignment vertical="center"/>
    </xf>
    <xf numFmtId="0" fontId="27" fillId="12" borderId="0" xfId="0" applyFont="1" applyFill="1">
      <alignment vertical="center"/>
    </xf>
    <xf numFmtId="43" fontId="9" fillId="12" borderId="76" xfId="0" applyNumberFormat="1" applyFont="1" applyFill="1" applyBorder="1">
      <alignment vertical="center"/>
    </xf>
    <xf numFmtId="43" fontId="9" fillId="12" borderId="77" xfId="0" applyNumberFormat="1" applyFont="1" applyFill="1" applyBorder="1">
      <alignment vertical="center"/>
    </xf>
    <xf numFmtId="43" fontId="36" fillId="12" borderId="76" xfId="0" applyNumberFormat="1" applyFont="1" applyFill="1" applyBorder="1">
      <alignment vertical="center"/>
    </xf>
    <xf numFmtId="43" fontId="9" fillId="12" borderId="79" xfId="0" applyNumberFormat="1" applyFont="1" applyFill="1" applyBorder="1">
      <alignment vertical="center"/>
    </xf>
    <xf numFmtId="43" fontId="36" fillId="12" borderId="79" xfId="0" applyNumberFormat="1" applyFont="1" applyFill="1" applyBorder="1">
      <alignment vertical="center"/>
    </xf>
    <xf numFmtId="43" fontId="27" fillId="12" borderId="79" xfId="0" applyNumberFormat="1" applyFont="1" applyFill="1" applyBorder="1" applyAlignment="1">
      <alignment horizontal="left" vertical="center"/>
    </xf>
    <xf numFmtId="43" fontId="27" fillId="12" borderId="87" xfId="0" applyNumberFormat="1" applyFont="1" applyFill="1" applyBorder="1" applyAlignment="1">
      <alignment vertical="center" wrapText="1"/>
    </xf>
    <xf numFmtId="43" fontId="22" fillId="12" borderId="88" xfId="0" applyNumberFormat="1" applyFont="1" applyFill="1" applyBorder="1">
      <alignment vertical="center"/>
    </xf>
    <xf numFmtId="0" fontId="22" fillId="12" borderId="80" xfId="0" applyFont="1" applyFill="1" applyBorder="1" applyAlignment="1">
      <alignment vertical="center" wrapText="1"/>
    </xf>
    <xf numFmtId="43" fontId="27" fillId="12" borderId="79" xfId="0" applyNumberFormat="1" applyFont="1" applyFill="1" applyBorder="1" applyAlignment="1">
      <alignment horizontal="left" vertical="center" wrapText="1"/>
    </xf>
    <xf numFmtId="43" fontId="27" fillId="12" borderId="89" xfId="0" applyNumberFormat="1" applyFont="1" applyFill="1" applyBorder="1" applyAlignment="1">
      <alignment vertical="center" wrapText="1"/>
    </xf>
    <xf numFmtId="43" fontId="22" fillId="12" borderId="90" xfId="0" applyNumberFormat="1" applyFont="1" applyFill="1" applyBorder="1">
      <alignment vertical="center"/>
    </xf>
    <xf numFmtId="43" fontId="27" fillId="12" borderId="76" xfId="0" applyNumberFormat="1" applyFont="1" applyFill="1" applyBorder="1" applyAlignment="1">
      <alignment vertical="center" wrapText="1"/>
    </xf>
    <xf numFmtId="43" fontId="22" fillId="12" borderId="77" xfId="0" applyNumberFormat="1" applyFont="1" applyFill="1" applyBorder="1">
      <alignment vertical="center"/>
    </xf>
    <xf numFmtId="9" fontId="27" fillId="12" borderId="76" xfId="0" applyNumberFormat="1" applyFont="1" applyFill="1" applyBorder="1" applyAlignment="1">
      <alignment horizontal="center" vertical="center" wrapText="1"/>
    </xf>
    <xf numFmtId="43" fontId="22" fillId="6" borderId="77" xfId="0" applyNumberFormat="1" applyFont="1" applyFill="1" applyBorder="1">
      <alignment vertical="center"/>
    </xf>
    <xf numFmtId="43" fontId="27" fillId="12" borderId="76" xfId="0" applyNumberFormat="1" applyFont="1" applyFill="1" applyBorder="1" applyAlignment="1">
      <alignment horizontal="left" vertical="center" wrapText="1"/>
    </xf>
    <xf numFmtId="43" fontId="22" fillId="12" borderId="77" xfId="0" applyNumberFormat="1" applyFont="1" applyFill="1" applyBorder="1" applyAlignment="1">
      <alignment horizontal="center" vertical="center"/>
    </xf>
    <xf numFmtId="43" fontId="22" fillId="6" borderId="77" xfId="0" applyNumberFormat="1" applyFont="1" applyFill="1" applyBorder="1" applyAlignment="1">
      <alignment horizontal="center" vertical="center"/>
    </xf>
    <xf numFmtId="43" fontId="27" fillId="12" borderId="79" xfId="0" applyNumberFormat="1" applyFont="1" applyFill="1" applyBorder="1">
      <alignment vertical="center"/>
    </xf>
    <xf numFmtId="0" fontId="36" fillId="12" borderId="81" xfId="0" applyFont="1" applyFill="1" applyBorder="1">
      <alignment vertical="center"/>
    </xf>
    <xf numFmtId="9" fontId="9" fillId="12" borderId="91" xfId="2" applyFont="1" applyFill="1" applyBorder="1">
      <alignment vertical="center"/>
    </xf>
    <xf numFmtId="176" fontId="36" fillId="12" borderId="75" xfId="0" applyNumberFormat="1" applyFont="1" applyFill="1" applyBorder="1">
      <alignment vertical="center"/>
    </xf>
    <xf numFmtId="0" fontId="2" fillId="12" borderId="0" xfId="0" applyFont="1" applyFill="1">
      <alignment vertical="center"/>
    </xf>
    <xf numFmtId="0" fontId="9" fillId="12" borderId="0" xfId="0" applyFont="1" applyFill="1">
      <alignment vertical="center"/>
    </xf>
    <xf numFmtId="0" fontId="49" fillId="12" borderId="0" xfId="0" applyFont="1" applyFill="1">
      <alignment vertical="center"/>
    </xf>
    <xf numFmtId="43" fontId="9" fillId="12" borderId="92" xfId="0" applyNumberFormat="1" applyFont="1" applyFill="1" applyBorder="1">
      <alignment vertical="center"/>
    </xf>
    <xf numFmtId="43" fontId="9" fillId="12" borderId="93" xfId="0" applyNumberFormat="1" applyFont="1" applyFill="1" applyBorder="1">
      <alignment vertical="center"/>
    </xf>
    <xf numFmtId="43" fontId="2" fillId="12" borderId="94" xfId="0" applyNumberFormat="1" applyFont="1" applyFill="1" applyBorder="1">
      <alignment vertical="center"/>
    </xf>
    <xf numFmtId="43" fontId="47" fillId="12" borderId="0" xfId="0" applyNumberFormat="1" applyFont="1" applyFill="1">
      <alignment vertical="center"/>
    </xf>
    <xf numFmtId="178" fontId="9" fillId="12" borderId="78" xfId="1" applyNumberFormat="1" applyFont="1" applyFill="1" applyBorder="1" applyAlignment="1">
      <alignment horizontal="center" vertical="center"/>
    </xf>
    <xf numFmtId="43" fontId="9" fillId="12" borderId="95" xfId="0" applyNumberFormat="1" applyFont="1" applyFill="1" applyBorder="1">
      <alignment vertical="center"/>
    </xf>
    <xf numFmtId="43" fontId="9" fillId="12" borderId="86" xfId="0" applyNumberFormat="1" applyFont="1" applyFill="1" applyBorder="1">
      <alignment vertical="center"/>
    </xf>
    <xf numFmtId="43" fontId="27" fillId="12" borderId="96" xfId="0" applyNumberFormat="1" applyFont="1" applyFill="1" applyBorder="1" applyAlignment="1">
      <alignment vertical="center" wrapText="1"/>
    </xf>
    <xf numFmtId="9" fontId="27" fillId="12" borderId="81" xfId="0" applyNumberFormat="1" applyFont="1" applyFill="1" applyBorder="1" applyAlignment="1">
      <alignment horizontal="left" vertical="center" wrapText="1"/>
    </xf>
    <xf numFmtId="10" fontId="27" fillId="12" borderId="81" xfId="0" applyNumberFormat="1" applyFont="1" applyFill="1" applyBorder="1" applyAlignment="1">
      <alignment horizontal="left" vertical="center" wrapText="1"/>
    </xf>
    <xf numFmtId="43" fontId="22" fillId="12" borderId="92" xfId="0" applyNumberFormat="1" applyFont="1" applyFill="1" applyBorder="1" applyAlignment="1">
      <alignment horizontal="center" vertical="center"/>
    </xf>
    <xf numFmtId="43" fontId="22" fillId="12" borderId="93" xfId="0" applyNumberFormat="1" applyFont="1" applyFill="1" applyBorder="1" applyAlignment="1">
      <alignment horizontal="center" vertical="center"/>
    </xf>
    <xf numFmtId="43" fontId="22" fillId="12" borderId="94" xfId="0" applyNumberFormat="1" applyFont="1" applyFill="1" applyBorder="1" applyAlignment="1">
      <alignment horizontal="left" vertical="center" wrapText="1"/>
    </xf>
    <xf numFmtId="43" fontId="31" fillId="12" borderId="95" xfId="0" applyNumberFormat="1" applyFont="1" applyFill="1" applyBorder="1">
      <alignment vertical="center"/>
    </xf>
    <xf numFmtId="43" fontId="31" fillId="12" borderId="86" xfId="0" applyNumberFormat="1" applyFont="1" applyFill="1" applyBorder="1">
      <alignment vertical="center"/>
    </xf>
    <xf numFmtId="43" fontId="29" fillId="12" borderId="96" xfId="0" applyNumberFormat="1" applyFont="1" applyFill="1" applyBorder="1" applyAlignment="1">
      <alignment vertical="center" wrapText="1"/>
    </xf>
    <xf numFmtId="176" fontId="9" fillId="12" borderId="102" xfId="0" applyNumberFormat="1" applyFont="1" applyFill="1" applyBorder="1">
      <alignment vertical="center"/>
    </xf>
    <xf numFmtId="176" fontId="9" fillId="12" borderId="86" xfId="0" applyNumberFormat="1" applyFont="1" applyFill="1" applyBorder="1">
      <alignment vertical="center"/>
    </xf>
    <xf numFmtId="183" fontId="2" fillId="12" borderId="96" xfId="0" applyNumberFormat="1" applyFont="1" applyFill="1" applyBorder="1">
      <alignment vertical="center"/>
    </xf>
    <xf numFmtId="9" fontId="9" fillId="12" borderId="85" xfId="2" applyFont="1" applyFill="1" applyBorder="1">
      <alignment vertical="center"/>
    </xf>
    <xf numFmtId="9" fontId="9" fillId="12" borderId="103" xfId="2" applyFont="1" applyFill="1" applyBorder="1">
      <alignment vertical="center"/>
    </xf>
    <xf numFmtId="183" fontId="9" fillId="12" borderId="104" xfId="0" applyNumberFormat="1" applyFont="1" applyFill="1" applyBorder="1">
      <alignment vertical="center"/>
    </xf>
    <xf numFmtId="0" fontId="50" fillId="12" borderId="0" xfId="3" applyFont="1" applyFill="1">
      <alignment vertical="center"/>
    </xf>
    <xf numFmtId="0" fontId="11" fillId="12" borderId="0" xfId="0" applyFont="1" applyFill="1" applyAlignment="1">
      <alignment horizontal="center" vertical="center" wrapText="1"/>
    </xf>
    <xf numFmtId="0" fontId="11" fillId="12" borderId="0" xfId="0" applyFont="1" applyFill="1" applyAlignment="1">
      <alignment vertical="center" wrapText="1"/>
    </xf>
    <xf numFmtId="0" fontId="12" fillId="12" borderId="0" xfId="0" applyFont="1" applyFill="1" applyAlignment="1">
      <alignment horizontal="center" vertical="center" wrapText="1"/>
    </xf>
    <xf numFmtId="0" fontId="2" fillId="12" borderId="0" xfId="0" applyFont="1" applyFill="1" applyAlignment="1">
      <alignment horizontal="center" vertical="center" wrapText="1"/>
    </xf>
    <xf numFmtId="0" fontId="2" fillId="12" borderId="0" xfId="0" applyFont="1" applyFill="1" applyAlignment="1">
      <alignment horizontal="left" vertical="center" wrapText="1"/>
    </xf>
    <xf numFmtId="0" fontId="11" fillId="12" borderId="0" xfId="0" applyFont="1" applyFill="1" applyAlignment="1">
      <alignment horizontal="left" vertical="center" wrapText="1"/>
    </xf>
    <xf numFmtId="0" fontId="12" fillId="12" borderId="0" xfId="0" applyFont="1" applyFill="1" applyAlignment="1">
      <alignment horizontal="left" vertical="center" wrapText="1"/>
    </xf>
    <xf numFmtId="0" fontId="12" fillId="12" borderId="0" xfId="0" applyFont="1" applyFill="1" applyAlignment="1">
      <alignment vertical="center" wrapText="1"/>
    </xf>
    <xf numFmtId="0" fontId="2" fillId="12" borderId="0" xfId="0" applyFont="1" applyFill="1" applyAlignment="1">
      <alignment vertical="center" wrapText="1"/>
    </xf>
    <xf numFmtId="0" fontId="51" fillId="12" borderId="0" xfId="0" applyFont="1" applyFill="1" applyAlignment="1">
      <alignment horizontal="left" vertical="center"/>
    </xf>
    <xf numFmtId="0" fontId="51" fillId="12" borderId="0" xfId="0" applyFont="1" applyFill="1" applyAlignment="1">
      <alignment horizontal="center" vertical="center" wrapText="1"/>
    </xf>
    <xf numFmtId="0" fontId="2" fillId="12" borderId="0" xfId="0" applyFont="1" applyFill="1" applyAlignment="1">
      <alignment horizontal="right" vertical="center"/>
    </xf>
    <xf numFmtId="0" fontId="26" fillId="12" borderId="0" xfId="0" applyFont="1" applyFill="1" applyAlignment="1">
      <alignment horizontal="right" vertical="center"/>
    </xf>
    <xf numFmtId="0" fontId="49" fillId="12" borderId="0" xfId="0" applyFont="1" applyFill="1" applyAlignment="1">
      <alignment horizontal="right" vertical="center"/>
    </xf>
    <xf numFmtId="183" fontId="9" fillId="12" borderId="106" xfId="0" applyNumberFormat="1" applyFont="1" applyFill="1" applyBorder="1" applyAlignment="1">
      <alignment horizontal="right" vertical="center"/>
    </xf>
    <xf numFmtId="183" fontId="9" fillId="12" borderId="107" xfId="0" applyNumberFormat="1" applyFont="1" applyFill="1" applyBorder="1" applyAlignment="1">
      <alignment horizontal="right" vertical="center"/>
    </xf>
    <xf numFmtId="43" fontId="9" fillId="12" borderId="108" xfId="0" applyNumberFormat="1" applyFont="1" applyFill="1" applyBorder="1">
      <alignment vertical="center"/>
    </xf>
    <xf numFmtId="43" fontId="9" fillId="12" borderId="109" xfId="0" applyNumberFormat="1" applyFont="1" applyFill="1" applyBorder="1">
      <alignment vertical="center"/>
    </xf>
    <xf numFmtId="43" fontId="9" fillId="12" borderId="110" xfId="0" applyNumberFormat="1" applyFont="1" applyFill="1" applyBorder="1">
      <alignment vertical="center"/>
    </xf>
    <xf numFmtId="43" fontId="9" fillId="12" borderId="111" xfId="0" applyNumberFormat="1" applyFont="1" applyFill="1" applyBorder="1">
      <alignment vertical="center"/>
    </xf>
    <xf numFmtId="43" fontId="9" fillId="12" borderId="112" xfId="0" applyNumberFormat="1" applyFont="1" applyFill="1" applyBorder="1">
      <alignment vertical="center"/>
    </xf>
    <xf numFmtId="43" fontId="9" fillId="12" borderId="77" xfId="0" applyNumberFormat="1" applyFont="1" applyFill="1" applyBorder="1" applyAlignment="1">
      <alignment horizontal="center" vertical="center"/>
    </xf>
    <xf numFmtId="43" fontId="9" fillId="12" borderId="102" xfId="0" applyNumberFormat="1" applyFont="1" applyFill="1" applyBorder="1">
      <alignment vertical="center"/>
    </xf>
    <xf numFmtId="43" fontId="22" fillId="12" borderId="111" xfId="0" applyNumberFormat="1" applyFont="1" applyFill="1" applyBorder="1">
      <alignment vertical="center"/>
    </xf>
    <xf numFmtId="43" fontId="22" fillId="12" borderId="112" xfId="0" applyNumberFormat="1" applyFont="1" applyFill="1" applyBorder="1">
      <alignment vertical="center"/>
    </xf>
    <xf numFmtId="43" fontId="22" fillId="12" borderId="113" xfId="0" applyNumberFormat="1" applyFont="1" applyFill="1" applyBorder="1">
      <alignment vertical="center"/>
    </xf>
    <xf numFmtId="43" fontId="22" fillId="12" borderId="114" xfId="0" applyNumberFormat="1" applyFont="1" applyFill="1" applyBorder="1">
      <alignment vertical="center"/>
    </xf>
    <xf numFmtId="43" fontId="22" fillId="12" borderId="110" xfId="0" applyNumberFormat="1" applyFont="1" applyFill="1" applyBorder="1" applyAlignment="1">
      <alignment horizontal="center" vertical="center"/>
    </xf>
    <xf numFmtId="43" fontId="31" fillId="12" borderId="102" xfId="0" applyNumberFormat="1" applyFont="1" applyFill="1" applyBorder="1">
      <alignment vertical="center"/>
    </xf>
    <xf numFmtId="177" fontId="9" fillId="12" borderId="114" xfId="2" applyNumberFormat="1" applyFont="1" applyFill="1" applyBorder="1">
      <alignment vertical="center"/>
    </xf>
    <xf numFmtId="184" fontId="12" fillId="12" borderId="115" xfId="2" applyNumberFormat="1" applyFont="1" applyFill="1" applyBorder="1">
      <alignment vertical="center"/>
    </xf>
    <xf numFmtId="176" fontId="9" fillId="12" borderId="111" xfId="0" applyNumberFormat="1" applyFont="1" applyFill="1" applyBorder="1">
      <alignment vertical="center"/>
    </xf>
    <xf numFmtId="9" fontId="9" fillId="12" borderId="116" xfId="2" applyFont="1" applyFill="1" applyBorder="1">
      <alignment vertical="center"/>
    </xf>
    <xf numFmtId="9" fontId="9" fillId="12" borderId="117" xfId="2" applyFont="1" applyFill="1" applyBorder="1">
      <alignment vertical="center"/>
    </xf>
    <xf numFmtId="178" fontId="11" fillId="12" borderId="0" xfId="1" applyNumberFormat="1" applyFont="1" applyFill="1" applyBorder="1" applyAlignment="1">
      <alignment horizontal="right" vertical="center" wrapText="1"/>
    </xf>
    <xf numFmtId="178" fontId="11" fillId="12" borderId="0" xfId="1" applyNumberFormat="1" applyFont="1" applyFill="1" applyBorder="1" applyAlignment="1">
      <alignment horizontal="right" vertical="center"/>
    </xf>
    <xf numFmtId="178" fontId="12" fillId="12" borderId="0" xfId="1" applyNumberFormat="1" applyFont="1" applyFill="1" applyBorder="1" applyAlignment="1">
      <alignment horizontal="right" vertical="center"/>
    </xf>
    <xf numFmtId="178" fontId="2" fillId="12" borderId="0" xfId="1" applyNumberFormat="1" applyFont="1" applyFill="1" applyBorder="1" applyAlignment="1">
      <alignment horizontal="right" vertical="center" wrapText="1"/>
    </xf>
    <xf numFmtId="178" fontId="2" fillId="12" borderId="0" xfId="1" applyNumberFormat="1" applyFont="1" applyFill="1" applyBorder="1" applyAlignment="1">
      <alignment horizontal="right" vertical="center"/>
    </xf>
    <xf numFmtId="178" fontId="12" fillId="12" borderId="0" xfId="1" applyNumberFormat="1" applyFont="1" applyFill="1" applyBorder="1" applyAlignment="1">
      <alignment horizontal="right" vertical="center" wrapText="1"/>
    </xf>
    <xf numFmtId="178" fontId="51" fillId="12" borderId="0" xfId="1" applyNumberFormat="1" applyFont="1" applyFill="1" applyBorder="1" applyAlignment="1">
      <alignment horizontal="right" vertical="center" wrapText="1"/>
    </xf>
    <xf numFmtId="178" fontId="51" fillId="12" borderId="0" xfId="1" applyNumberFormat="1" applyFont="1" applyFill="1" applyBorder="1" applyAlignment="1">
      <alignment horizontal="right" vertical="center"/>
    </xf>
    <xf numFmtId="0" fontId="23" fillId="20" borderId="75" xfId="0" applyFont="1" applyFill="1" applyBorder="1" applyAlignment="1">
      <alignment horizontal="center" vertical="center"/>
    </xf>
    <xf numFmtId="180" fontId="23" fillId="20" borderId="74" xfId="0" applyNumberFormat="1" applyFont="1" applyFill="1" applyBorder="1" applyAlignment="1">
      <alignment horizontal="center" vertical="center"/>
    </xf>
    <xf numFmtId="0" fontId="23" fillId="20" borderId="73" xfId="0" applyFont="1" applyFill="1" applyBorder="1" applyAlignment="1">
      <alignment horizontal="center" vertical="center"/>
    </xf>
    <xf numFmtId="43" fontId="9" fillId="12" borderId="76" xfId="1" applyFont="1" applyFill="1" applyBorder="1">
      <alignment vertical="center"/>
    </xf>
    <xf numFmtId="43" fontId="22" fillId="12" borderId="118" xfId="0" applyNumberFormat="1" applyFont="1" applyFill="1" applyBorder="1">
      <alignment vertical="center"/>
    </xf>
    <xf numFmtId="43" fontId="22" fillId="12" borderId="119" xfId="0" applyNumberFormat="1" applyFont="1" applyFill="1" applyBorder="1" applyAlignment="1">
      <alignment vertical="center" wrapText="1"/>
    </xf>
    <xf numFmtId="43" fontId="22" fillId="12" borderId="120" xfId="0" applyNumberFormat="1" applyFont="1" applyFill="1" applyBorder="1">
      <alignment vertical="center"/>
    </xf>
    <xf numFmtId="43" fontId="22" fillId="12" borderId="112" xfId="0" applyNumberFormat="1" applyFont="1" applyFill="1" applyBorder="1" applyAlignment="1">
      <alignment vertical="center" wrapText="1"/>
    </xf>
    <xf numFmtId="43" fontId="22" fillId="12" borderId="121" xfId="0" applyNumberFormat="1" applyFont="1" applyFill="1" applyBorder="1">
      <alignment vertical="center"/>
    </xf>
    <xf numFmtId="43" fontId="22" fillId="12" borderId="115" xfId="0" applyNumberFormat="1" applyFont="1" applyFill="1" applyBorder="1" applyAlignment="1">
      <alignment vertical="center" wrapText="1"/>
    </xf>
    <xf numFmtId="0" fontId="23" fillId="20" borderId="85" xfId="0" applyFont="1" applyFill="1" applyBorder="1" applyAlignment="1">
      <alignment horizontal="center" vertical="center"/>
    </xf>
    <xf numFmtId="43" fontId="36" fillId="12" borderId="113" xfId="0" applyNumberFormat="1" applyFont="1" applyFill="1" applyBorder="1">
      <alignment vertical="center"/>
    </xf>
    <xf numFmtId="43" fontId="9" fillId="12" borderId="122" xfId="0" applyNumberFormat="1" applyFont="1" applyFill="1" applyBorder="1">
      <alignment vertical="center"/>
    </xf>
    <xf numFmtId="43" fontId="27" fillId="12" borderId="111" xfId="0" applyNumberFormat="1" applyFont="1" applyFill="1" applyBorder="1" applyAlignment="1">
      <alignment vertical="center" wrapText="1"/>
    </xf>
    <xf numFmtId="43" fontId="22" fillId="12" borderId="97" xfId="0" applyNumberFormat="1" applyFont="1" applyFill="1" applyBorder="1">
      <alignment vertical="center"/>
    </xf>
    <xf numFmtId="43" fontId="22" fillId="12" borderId="98" xfId="0" applyNumberFormat="1" applyFont="1" applyFill="1" applyBorder="1">
      <alignment vertical="center"/>
    </xf>
    <xf numFmtId="43" fontId="22" fillId="12" borderId="99" xfId="0" applyNumberFormat="1" applyFont="1" applyFill="1" applyBorder="1" applyAlignment="1">
      <alignment vertical="center" wrapText="1"/>
    </xf>
    <xf numFmtId="43" fontId="22" fillId="12" borderId="100" xfId="0" applyNumberFormat="1" applyFont="1" applyFill="1" applyBorder="1">
      <alignment vertical="center"/>
    </xf>
    <xf numFmtId="43" fontId="22" fillId="12" borderId="101" xfId="0" applyNumberFormat="1" applyFont="1" applyFill="1" applyBorder="1">
      <alignment vertical="center"/>
    </xf>
    <xf numFmtId="43" fontId="22" fillId="12" borderId="7" xfId="0" applyNumberFormat="1" applyFont="1" applyFill="1" applyBorder="1" applyAlignment="1">
      <alignment vertical="center" wrapText="1"/>
    </xf>
    <xf numFmtId="43" fontId="22" fillId="12" borderId="92" xfId="0" applyNumberFormat="1" applyFont="1" applyFill="1" applyBorder="1">
      <alignment vertical="center"/>
    </xf>
    <xf numFmtId="43" fontId="22" fillId="12" borderId="93" xfId="0" applyNumberFormat="1" applyFont="1" applyFill="1" applyBorder="1">
      <alignment vertical="center"/>
    </xf>
    <xf numFmtId="43" fontId="22" fillId="12" borderId="94" xfId="0" applyNumberFormat="1" applyFont="1" applyFill="1" applyBorder="1" applyAlignment="1">
      <alignment vertical="center" wrapText="1"/>
    </xf>
    <xf numFmtId="9" fontId="27" fillId="12" borderId="111" xfId="0" applyNumberFormat="1" applyFont="1" applyFill="1" applyBorder="1" applyAlignment="1">
      <alignment horizontal="center" vertical="center" wrapText="1"/>
    </xf>
    <xf numFmtId="43" fontId="22" fillId="6" borderId="112" xfId="0" applyNumberFormat="1" applyFont="1" applyFill="1" applyBorder="1">
      <alignment vertical="center"/>
    </xf>
    <xf numFmtId="43" fontId="27" fillId="12" borderId="111" xfId="0" applyNumberFormat="1" applyFont="1" applyFill="1" applyBorder="1" applyAlignment="1">
      <alignment horizontal="left" vertical="center" wrapText="1"/>
    </xf>
    <xf numFmtId="43" fontId="22" fillId="12" borderId="112" xfId="0" applyNumberFormat="1" applyFont="1" applyFill="1" applyBorder="1" applyAlignment="1">
      <alignment horizontal="center" vertical="center"/>
    </xf>
    <xf numFmtId="43" fontId="22" fillId="6" borderId="112" xfId="0" applyNumberFormat="1" applyFont="1" applyFill="1" applyBorder="1" applyAlignment="1">
      <alignment horizontal="center" vertical="center"/>
    </xf>
    <xf numFmtId="43" fontId="27" fillId="12" borderId="111" xfId="0" applyNumberFormat="1" applyFont="1" applyFill="1" applyBorder="1">
      <alignment vertical="center"/>
    </xf>
    <xf numFmtId="0" fontId="36" fillId="12" borderId="114" xfId="0" applyFont="1" applyFill="1" applyBorder="1">
      <alignment vertical="center"/>
    </xf>
    <xf numFmtId="2" fontId="22" fillId="12" borderId="79" xfId="0" applyNumberFormat="1" applyFont="1" applyFill="1" applyBorder="1" applyAlignment="1">
      <alignment horizontal="center" vertical="center"/>
    </xf>
    <xf numFmtId="183" fontId="9" fillId="12" borderId="78" xfId="0" applyNumberFormat="1" applyFont="1" applyFill="1" applyBorder="1" applyAlignment="1">
      <alignment horizontal="center" vertical="center"/>
    </xf>
    <xf numFmtId="43" fontId="9" fillId="12" borderId="81" xfId="0" applyNumberFormat="1" applyFont="1" applyFill="1" applyBorder="1" applyAlignment="1">
      <alignment horizontal="center" vertical="center"/>
    </xf>
    <xf numFmtId="43" fontId="27" fillId="12" borderId="81" xfId="0" applyNumberFormat="1" applyFont="1" applyFill="1" applyBorder="1" applyAlignment="1">
      <alignment horizontal="left" vertical="center" wrapText="1"/>
    </xf>
    <xf numFmtId="43" fontId="22" fillId="12" borderId="123" xfId="0" applyNumberFormat="1" applyFont="1" applyFill="1" applyBorder="1">
      <alignment vertical="center"/>
    </xf>
    <xf numFmtId="43" fontId="22" fillId="12" borderId="124" xfId="0" applyNumberFormat="1" applyFont="1" applyFill="1" applyBorder="1">
      <alignment vertical="center"/>
    </xf>
    <xf numFmtId="43" fontId="22" fillId="12" borderId="125" xfId="0" applyNumberFormat="1" applyFont="1" applyFill="1" applyBorder="1">
      <alignment vertical="center"/>
    </xf>
    <xf numFmtId="43" fontId="22" fillId="12" borderId="126" xfId="0" applyNumberFormat="1" applyFont="1" applyFill="1" applyBorder="1">
      <alignment vertical="center"/>
    </xf>
    <xf numFmtId="43" fontId="22" fillId="12" borderId="114" xfId="0" applyNumberFormat="1" applyFont="1" applyFill="1" applyBorder="1" applyAlignment="1">
      <alignment horizontal="center" vertical="center"/>
    </xf>
    <xf numFmtId="43" fontId="22" fillId="12" borderId="127" xfId="0" applyNumberFormat="1" applyFont="1" applyFill="1" applyBorder="1" applyAlignment="1">
      <alignment horizontal="center" vertical="center"/>
    </xf>
    <xf numFmtId="183" fontId="22" fillId="12" borderId="81" xfId="0" applyNumberFormat="1" applyFont="1" applyFill="1" applyBorder="1" applyAlignment="1">
      <alignment horizontal="left" vertical="center"/>
    </xf>
    <xf numFmtId="176" fontId="52" fillId="12" borderId="102" xfId="0" applyNumberFormat="1" applyFont="1" applyFill="1" applyBorder="1">
      <alignment vertical="center"/>
    </xf>
    <xf numFmtId="43" fontId="22" fillId="12" borderId="128" xfId="0" applyNumberFormat="1" applyFont="1" applyFill="1" applyBorder="1">
      <alignment vertical="center"/>
    </xf>
    <xf numFmtId="43" fontId="22" fillId="12" borderId="121" xfId="0" applyNumberFormat="1" applyFont="1" applyFill="1" applyBorder="1" applyAlignment="1">
      <alignment horizontal="center" vertical="center"/>
    </xf>
    <xf numFmtId="43" fontId="22" fillId="12" borderId="115" xfId="0" applyNumberFormat="1" applyFont="1" applyFill="1" applyBorder="1" applyAlignment="1">
      <alignment horizontal="left" vertical="center" wrapText="1"/>
    </xf>
    <xf numFmtId="0" fontId="53" fillId="12" borderId="0" xfId="0" applyFont="1" applyFill="1" applyAlignment="1">
      <alignment vertical="center" wrapText="1"/>
    </xf>
    <xf numFmtId="0" fontId="54" fillId="12" borderId="0" xfId="0" applyFont="1" applyFill="1" applyAlignment="1">
      <alignment horizontal="left" vertical="center"/>
    </xf>
    <xf numFmtId="0" fontId="54" fillId="12" borderId="0" xfId="0" applyFont="1" applyFill="1">
      <alignment vertical="center"/>
    </xf>
    <xf numFmtId="0" fontId="2" fillId="12" borderId="0" xfId="0" applyFont="1" applyFill="1" applyAlignment="1">
      <alignment horizontal="right" vertical="center" wrapText="1"/>
    </xf>
    <xf numFmtId="0" fontId="53" fillId="12" borderId="0" xfId="0" applyFont="1" applyFill="1" applyAlignment="1">
      <alignment horizontal="right" vertical="center" wrapText="1"/>
    </xf>
    <xf numFmtId="0" fontId="53" fillId="12" borderId="0" xfId="0" applyFont="1" applyFill="1" applyAlignment="1">
      <alignment horizontal="right" vertical="center"/>
    </xf>
    <xf numFmtId="0" fontId="11" fillId="12" borderId="0" xfId="0" applyFont="1" applyFill="1" applyAlignment="1">
      <alignment horizontal="center" vertical="center"/>
    </xf>
    <xf numFmtId="0" fontId="26" fillId="21" borderId="0" xfId="0" applyFont="1" applyFill="1">
      <alignment vertical="center"/>
    </xf>
    <xf numFmtId="9" fontId="22" fillId="16" borderId="129" xfId="2" applyFont="1" applyFill="1" applyBorder="1" applyAlignment="1">
      <alignment horizontal="center" vertical="center" wrapText="1"/>
    </xf>
    <xf numFmtId="9" fontId="33" fillId="17" borderId="130" xfId="2" applyFont="1" applyFill="1" applyBorder="1" applyAlignment="1">
      <alignment horizontal="left" vertical="center" wrapText="1"/>
    </xf>
    <xf numFmtId="180" fontId="23" fillId="18" borderId="130" xfId="2" applyNumberFormat="1" applyFont="1" applyFill="1" applyBorder="1" applyAlignment="1">
      <alignment horizontal="left" vertical="center" wrapText="1"/>
    </xf>
    <xf numFmtId="9" fontId="22" fillId="19" borderId="130" xfId="2" applyFont="1" applyFill="1" applyBorder="1" applyAlignment="1">
      <alignment horizontal="left" vertical="center" wrapText="1"/>
    </xf>
    <xf numFmtId="180" fontId="27" fillId="0" borderId="130" xfId="0" applyNumberFormat="1" applyFont="1" applyBorder="1" applyAlignment="1">
      <alignment horizontal="left" wrapText="1"/>
    </xf>
    <xf numFmtId="9" fontId="23" fillId="16" borderId="130" xfId="2" applyFont="1" applyFill="1" applyBorder="1" applyAlignment="1">
      <alignment horizontal="left" vertical="center" wrapText="1"/>
    </xf>
    <xf numFmtId="9" fontId="27" fillId="0" borderId="130" xfId="2" applyFont="1" applyBorder="1" applyAlignment="1">
      <alignment horizontal="left" wrapText="1"/>
    </xf>
    <xf numFmtId="182" fontId="27" fillId="0" borderId="130" xfId="2" applyNumberFormat="1" applyFont="1" applyBorder="1" applyAlignment="1">
      <alignment horizontal="left" wrapText="1"/>
    </xf>
    <xf numFmtId="9" fontId="27" fillId="12" borderId="130" xfId="2" applyFont="1" applyFill="1" applyBorder="1" applyAlignment="1">
      <alignment horizontal="left" vertical="center" wrapText="1"/>
    </xf>
    <xf numFmtId="9" fontId="29" fillId="12" borderId="130" xfId="2" applyFont="1" applyFill="1" applyBorder="1" applyAlignment="1">
      <alignment horizontal="left" vertical="center" wrapText="1"/>
    </xf>
    <xf numFmtId="9" fontId="34" fillId="19" borderId="130" xfId="2" applyFont="1" applyFill="1" applyBorder="1" applyAlignment="1">
      <alignment horizontal="left" vertical="center" wrapText="1"/>
    </xf>
    <xf numFmtId="9" fontId="23" fillId="19" borderId="130" xfId="2" applyFont="1" applyFill="1" applyBorder="1" applyAlignment="1">
      <alignment horizontal="left" vertical="center" wrapText="1"/>
    </xf>
    <xf numFmtId="9" fontId="22" fillId="12" borderId="130" xfId="2" applyFont="1" applyFill="1" applyBorder="1" applyAlignment="1">
      <alignment horizontal="left" vertical="center" wrapText="1"/>
    </xf>
    <xf numFmtId="9" fontId="27" fillId="16" borderId="130" xfId="2" applyFont="1" applyFill="1" applyBorder="1" applyAlignment="1">
      <alignment horizontal="center" vertical="center" wrapText="1"/>
    </xf>
    <xf numFmtId="180" fontId="23" fillId="19" borderId="130" xfId="2" applyNumberFormat="1" applyFont="1" applyFill="1" applyBorder="1" applyAlignment="1">
      <alignment horizontal="left" vertical="center" wrapText="1"/>
    </xf>
    <xf numFmtId="9" fontId="31" fillId="12" borderId="130" xfId="2" applyFont="1" applyFill="1" applyBorder="1" applyAlignment="1">
      <alignment horizontal="left" vertical="center" wrapText="1"/>
    </xf>
    <xf numFmtId="9" fontId="25" fillId="0" borderId="130" xfId="2" applyFont="1" applyFill="1" applyBorder="1" applyAlignment="1">
      <alignment horizontal="left" vertical="center" wrapText="1"/>
    </xf>
    <xf numFmtId="182" fontId="22" fillId="12" borderId="130" xfId="2" applyNumberFormat="1" applyFont="1" applyFill="1" applyBorder="1" applyAlignment="1">
      <alignment horizontal="left" vertical="center" wrapText="1"/>
    </xf>
    <xf numFmtId="0" fontId="22" fillId="16" borderId="131" xfId="0" applyFont="1" applyFill="1" applyBorder="1" applyAlignment="1">
      <alignment horizontal="center" vertical="center"/>
    </xf>
    <xf numFmtId="176" fontId="31" fillId="16" borderId="132" xfId="0" applyNumberFormat="1" applyFont="1" applyFill="1" applyBorder="1" applyAlignment="1">
      <alignment horizontal="center" vertical="center"/>
    </xf>
    <xf numFmtId="176" fontId="22" fillId="16" borderId="133" xfId="0" applyNumberFormat="1" applyFont="1" applyFill="1" applyBorder="1" applyAlignment="1">
      <alignment horizontal="center" vertical="center"/>
    </xf>
    <xf numFmtId="0" fontId="22" fillId="16" borderId="132" xfId="0" applyFont="1" applyFill="1" applyBorder="1" applyAlignment="1">
      <alignment horizontal="center" vertical="center"/>
    </xf>
    <xf numFmtId="9" fontId="22" fillId="16" borderId="133" xfId="2" applyFont="1" applyFill="1" applyBorder="1" applyAlignment="1">
      <alignment horizontal="center" vertical="center" wrapText="1"/>
    </xf>
    <xf numFmtId="0" fontId="22" fillId="16" borderId="134" xfId="0" applyFont="1" applyFill="1" applyBorder="1" applyAlignment="1">
      <alignment horizontal="center" vertical="center"/>
    </xf>
    <xf numFmtId="0" fontId="33" fillId="17" borderId="135" xfId="0" applyFont="1" applyFill="1" applyBorder="1" applyAlignment="1">
      <alignment horizontal="center" vertical="center"/>
    </xf>
    <xf numFmtId="176" fontId="33" fillId="17" borderId="136" xfId="0" applyNumberFormat="1" applyFont="1" applyFill="1" applyBorder="1" applyAlignment="1">
      <alignment horizontal="center" vertical="center"/>
    </xf>
    <xf numFmtId="176" fontId="33" fillId="17" borderId="137" xfId="0" applyNumberFormat="1" applyFont="1" applyFill="1" applyBorder="1" applyAlignment="1">
      <alignment horizontal="center" vertical="center"/>
    </xf>
    <xf numFmtId="0" fontId="33" fillId="17" borderId="136" xfId="0" applyFont="1" applyFill="1" applyBorder="1" applyAlignment="1">
      <alignment horizontal="center" vertical="center"/>
    </xf>
    <xf numFmtId="9" fontId="33" fillId="17" borderId="137" xfId="2" applyFont="1" applyFill="1" applyBorder="1" applyAlignment="1">
      <alignment horizontal="left" vertical="center" wrapText="1"/>
    </xf>
    <xf numFmtId="0" fontId="37" fillId="17" borderId="138" xfId="0" applyFont="1" applyFill="1" applyBorder="1" applyAlignment="1">
      <alignment horizontal="left" vertical="center"/>
    </xf>
    <xf numFmtId="176" fontId="23" fillId="18" borderId="135" xfId="0" applyNumberFormat="1" applyFont="1" applyFill="1" applyBorder="1" applyAlignment="1">
      <alignment horizontal="right" vertical="center"/>
    </xf>
    <xf numFmtId="176" fontId="23" fillId="18" borderId="136" xfId="0" applyNumberFormat="1" applyFont="1" applyFill="1" applyBorder="1" applyAlignment="1">
      <alignment horizontal="right" vertical="center"/>
    </xf>
    <xf numFmtId="176" fontId="23" fillId="18" borderId="137" xfId="0" applyNumberFormat="1" applyFont="1" applyFill="1" applyBorder="1" applyAlignment="1">
      <alignment horizontal="right" vertical="center"/>
    </xf>
    <xf numFmtId="43" fontId="22" fillId="19" borderId="135" xfId="1" applyFont="1" applyFill="1" applyBorder="1" applyAlignment="1">
      <alignment horizontal="right" vertical="center" wrapText="1"/>
    </xf>
    <xf numFmtId="43" fontId="22" fillId="19" borderId="136" xfId="1" applyFont="1" applyFill="1" applyBorder="1" applyAlignment="1">
      <alignment horizontal="right" vertical="center" wrapText="1"/>
    </xf>
    <xf numFmtId="43" fontId="22" fillId="19" borderId="137" xfId="1" applyFont="1" applyFill="1" applyBorder="1" applyAlignment="1">
      <alignment horizontal="right" vertical="center" wrapText="1"/>
    </xf>
    <xf numFmtId="43" fontId="22" fillId="12" borderId="135" xfId="1" applyFont="1" applyFill="1" applyBorder="1" applyAlignment="1">
      <alignment horizontal="right" vertical="center" wrapText="1"/>
    </xf>
    <xf numFmtId="43" fontId="22" fillId="12" borderId="136" xfId="1" applyFont="1" applyFill="1" applyBorder="1" applyAlignment="1">
      <alignment horizontal="right" vertical="center" wrapText="1"/>
    </xf>
    <xf numFmtId="43" fontId="22" fillId="12" borderId="137" xfId="1" applyFont="1" applyFill="1" applyBorder="1" applyAlignment="1">
      <alignment horizontal="right" vertical="center" wrapText="1"/>
    </xf>
    <xf numFmtId="43" fontId="27" fillId="12" borderId="137" xfId="1" applyFont="1" applyFill="1" applyBorder="1" applyAlignment="1">
      <alignment horizontal="left" wrapText="1"/>
    </xf>
    <xf numFmtId="43" fontId="27" fillId="0" borderId="138" xfId="1" applyFont="1" applyFill="1" applyBorder="1" applyAlignment="1">
      <alignment horizontal="left" vertical="center"/>
    </xf>
    <xf numFmtId="43" fontId="23" fillId="16" borderId="135" xfId="1" applyFont="1" applyFill="1" applyBorder="1" applyAlignment="1">
      <alignment horizontal="right" vertical="center" wrapText="1"/>
    </xf>
    <xf numFmtId="43" fontId="23" fillId="16" borderId="136" xfId="1" applyFont="1" applyFill="1" applyBorder="1" applyAlignment="1">
      <alignment horizontal="right" vertical="center" wrapText="1"/>
    </xf>
    <xf numFmtId="43" fontId="23" fillId="16" borderId="137" xfId="1" applyFont="1" applyFill="1" applyBorder="1" applyAlignment="1">
      <alignment horizontal="right" vertical="center" wrapText="1"/>
    </xf>
    <xf numFmtId="43" fontId="31" fillId="12" borderId="135" xfId="1" applyFont="1" applyFill="1" applyBorder="1" applyAlignment="1">
      <alignment horizontal="right" vertical="center" wrapText="1"/>
    </xf>
    <xf numFmtId="43" fontId="31" fillId="12" borderId="136" xfId="1" applyFont="1" applyFill="1" applyBorder="1" applyAlignment="1">
      <alignment horizontal="right" vertical="center" wrapText="1"/>
    </xf>
    <xf numFmtId="43" fontId="31" fillId="12" borderId="137" xfId="1" applyFont="1" applyFill="1" applyBorder="1" applyAlignment="1">
      <alignment horizontal="right" vertical="center" wrapText="1"/>
    </xf>
    <xf numFmtId="9" fontId="29" fillId="0" borderId="137" xfId="2" applyFont="1" applyBorder="1" applyAlignment="1">
      <alignment horizontal="left" wrapText="1"/>
    </xf>
    <xf numFmtId="9" fontId="27" fillId="0" borderId="137" xfId="2" applyFont="1" applyBorder="1" applyAlignment="1">
      <alignment horizontal="left" vertical="center" wrapText="1"/>
    </xf>
    <xf numFmtId="43" fontId="22" fillId="0" borderId="137" xfId="1" applyFont="1" applyFill="1" applyBorder="1" applyAlignment="1">
      <alignment horizontal="right" vertical="center" wrapText="1"/>
    </xf>
    <xf numFmtId="43" fontId="22" fillId="0" borderId="136" xfId="1" applyFont="1" applyFill="1" applyBorder="1" applyAlignment="1">
      <alignment horizontal="right" vertical="center" wrapText="1"/>
    </xf>
    <xf numFmtId="43" fontId="22" fillId="0" borderId="135" xfId="1" applyFont="1" applyFill="1" applyBorder="1" applyAlignment="1">
      <alignment horizontal="right" vertical="center" wrapText="1"/>
    </xf>
    <xf numFmtId="43" fontId="34" fillId="19" borderId="135" xfId="1" applyFont="1" applyFill="1" applyBorder="1" applyAlignment="1">
      <alignment horizontal="right" vertical="center" wrapText="1"/>
    </xf>
    <xf numFmtId="43" fontId="34" fillId="19" borderId="136" xfId="1" applyFont="1" applyFill="1" applyBorder="1" applyAlignment="1">
      <alignment horizontal="right" vertical="center" wrapText="1"/>
    </xf>
    <xf numFmtId="43" fontId="34" fillId="19" borderId="137" xfId="1" applyFont="1" applyFill="1" applyBorder="1" applyAlignment="1">
      <alignment horizontal="right" vertical="center" wrapText="1"/>
    </xf>
    <xf numFmtId="9" fontId="34" fillId="19" borderId="135" xfId="2" applyFont="1" applyFill="1" applyBorder="1" applyAlignment="1">
      <alignment horizontal="right" vertical="center" wrapText="1"/>
    </xf>
    <xf numFmtId="43" fontId="23" fillId="19" borderId="135" xfId="1" applyFont="1" applyFill="1" applyBorder="1" applyAlignment="1">
      <alignment horizontal="right" vertical="center" wrapText="1"/>
    </xf>
    <xf numFmtId="43" fontId="23" fillId="19" borderId="136" xfId="1" applyFont="1" applyFill="1" applyBorder="1" applyAlignment="1">
      <alignment horizontal="right" vertical="center" wrapText="1"/>
    </xf>
    <xf numFmtId="43" fontId="23" fillId="19" borderId="137" xfId="1" applyFont="1" applyFill="1" applyBorder="1" applyAlignment="1">
      <alignment horizontal="right" vertical="center" wrapText="1"/>
    </xf>
    <xf numFmtId="43" fontId="27" fillId="0" borderId="135" xfId="0" applyNumberFormat="1" applyFont="1" applyBorder="1" applyAlignment="1">
      <alignment horizontal="right" vertical="center" wrapText="1"/>
    </xf>
    <xf numFmtId="43" fontId="22" fillId="0" borderId="136" xfId="1" applyFont="1" applyBorder="1" applyAlignment="1">
      <alignment horizontal="right" vertical="center"/>
    </xf>
    <xf numFmtId="43" fontId="22" fillId="0" borderId="137" xfId="1" applyFont="1" applyBorder="1" applyAlignment="1">
      <alignment horizontal="right" vertical="center"/>
    </xf>
    <xf numFmtId="43" fontId="22" fillId="0" borderId="135" xfId="1" applyFont="1" applyBorder="1" applyAlignment="1">
      <alignment horizontal="right" vertical="center"/>
    </xf>
    <xf numFmtId="43" fontId="23" fillId="22" borderId="136" xfId="1" applyFont="1" applyFill="1" applyBorder="1" applyAlignment="1">
      <alignment horizontal="right" vertical="center"/>
    </xf>
    <xf numFmtId="43" fontId="23" fillId="22" borderId="137" xfId="1" applyFont="1" applyFill="1" applyBorder="1" applyAlignment="1">
      <alignment horizontal="right" vertical="center"/>
    </xf>
    <xf numFmtId="43" fontId="23" fillId="22" borderId="135" xfId="1" applyFont="1" applyFill="1" applyBorder="1" applyAlignment="1">
      <alignment horizontal="right" vertical="center"/>
    </xf>
    <xf numFmtId="9" fontId="23" fillId="22" borderId="136" xfId="2" applyFont="1" applyFill="1" applyBorder="1" applyAlignment="1">
      <alignment horizontal="right" vertical="center"/>
    </xf>
    <xf numFmtId="9" fontId="23" fillId="22" borderId="137" xfId="2" applyFont="1" applyFill="1" applyBorder="1" applyAlignment="1">
      <alignment horizontal="right" vertical="center"/>
    </xf>
    <xf numFmtId="9" fontId="23" fillId="22" borderId="135" xfId="2" applyFont="1" applyFill="1" applyBorder="1" applyAlignment="1">
      <alignment horizontal="right" vertical="center"/>
    </xf>
    <xf numFmtId="43" fontId="34" fillId="19" borderId="137" xfId="1" applyFont="1" applyFill="1" applyBorder="1" applyAlignment="1">
      <alignment horizontal="right" vertical="center"/>
    </xf>
    <xf numFmtId="43" fontId="36" fillId="19" borderId="137" xfId="2" applyNumberFormat="1" applyFont="1" applyFill="1" applyBorder="1" applyAlignment="1">
      <alignment horizontal="left" vertical="center" wrapText="1"/>
    </xf>
    <xf numFmtId="43" fontId="23" fillId="19" borderId="136" xfId="1" applyFont="1" applyFill="1" applyBorder="1" applyAlignment="1">
      <alignment horizontal="right" vertical="center"/>
    </xf>
    <xf numFmtId="43" fontId="36" fillId="19" borderId="138" xfId="1" applyFont="1" applyFill="1" applyBorder="1" applyAlignment="1">
      <alignment horizontal="left" vertical="center"/>
    </xf>
    <xf numFmtId="43" fontId="33" fillId="17" borderId="135" xfId="0" applyNumberFormat="1" applyFont="1" applyFill="1" applyBorder="1" applyAlignment="1">
      <alignment horizontal="center" vertical="center"/>
    </xf>
    <xf numFmtId="43" fontId="33" fillId="17" borderId="136" xfId="0" applyNumberFormat="1" applyFont="1" applyFill="1" applyBorder="1" applyAlignment="1">
      <alignment horizontal="center" vertical="center"/>
    </xf>
    <xf numFmtId="43" fontId="33" fillId="17" borderId="137" xfId="0" applyNumberFormat="1" applyFont="1" applyFill="1" applyBorder="1" applyAlignment="1">
      <alignment horizontal="center" vertical="center"/>
    </xf>
    <xf numFmtId="43" fontId="33" fillId="17" borderId="137" xfId="2" applyNumberFormat="1" applyFont="1" applyFill="1" applyBorder="1" applyAlignment="1">
      <alignment horizontal="left" vertical="center" wrapText="1"/>
    </xf>
    <xf numFmtId="43" fontId="37" fillId="17" borderId="138" xfId="0" applyNumberFormat="1" applyFont="1" applyFill="1" applyBorder="1" applyAlignment="1">
      <alignment horizontal="left" vertical="center"/>
    </xf>
    <xf numFmtId="43" fontId="22" fillId="16" borderId="135" xfId="0" applyNumberFormat="1" applyFont="1" applyFill="1" applyBorder="1" applyAlignment="1">
      <alignment horizontal="center" vertical="center" wrapText="1"/>
    </xf>
    <xf numFmtId="43" fontId="22" fillId="16" borderId="136" xfId="0" applyNumberFormat="1" applyFont="1" applyFill="1" applyBorder="1" applyAlignment="1">
      <alignment horizontal="center" vertical="center" wrapText="1"/>
    </xf>
    <xf numFmtId="43" fontId="22" fillId="16" borderId="137" xfId="0" applyNumberFormat="1" applyFont="1" applyFill="1" applyBorder="1" applyAlignment="1">
      <alignment horizontal="center" vertical="center" wrapText="1"/>
    </xf>
    <xf numFmtId="43" fontId="27" fillId="16" borderId="137" xfId="2" applyNumberFormat="1" applyFont="1" applyFill="1" applyBorder="1" applyAlignment="1">
      <alignment horizontal="center" vertical="center"/>
    </xf>
    <xf numFmtId="43" fontId="29" fillId="16" borderId="138" xfId="0" applyNumberFormat="1" applyFont="1" applyFill="1" applyBorder="1" applyAlignment="1">
      <alignment horizontal="center" vertical="center"/>
    </xf>
    <xf numFmtId="43" fontId="23" fillId="19" borderId="135" xfId="1" applyFont="1" applyFill="1" applyBorder="1" applyAlignment="1">
      <alignment horizontal="right" vertical="center"/>
    </xf>
    <xf numFmtId="43" fontId="23" fillId="19" borderId="137" xfId="1" applyFont="1" applyFill="1" applyBorder="1" applyAlignment="1">
      <alignment horizontal="right" vertical="center"/>
    </xf>
    <xf numFmtId="9" fontId="27" fillId="0" borderId="137" xfId="2" applyFont="1" applyBorder="1" applyAlignment="1">
      <alignment horizontal="left" wrapText="1"/>
    </xf>
    <xf numFmtId="9" fontId="27" fillId="12" borderId="138" xfId="2" applyFont="1" applyFill="1" applyBorder="1" applyAlignment="1">
      <alignment horizontal="left"/>
    </xf>
    <xf numFmtId="9" fontId="29" fillId="12" borderId="138" xfId="1" applyNumberFormat="1" applyFont="1" applyFill="1" applyBorder="1" applyAlignment="1">
      <alignment horizontal="left"/>
    </xf>
    <xf numFmtId="9" fontId="25" fillId="0" borderId="135" xfId="2" applyFont="1" applyFill="1" applyBorder="1" applyAlignment="1">
      <alignment horizontal="right" vertical="center"/>
    </xf>
    <xf numFmtId="9" fontId="25" fillId="0" borderId="136" xfId="2" applyFont="1" applyFill="1" applyBorder="1" applyAlignment="1">
      <alignment horizontal="right" vertical="center"/>
    </xf>
    <xf numFmtId="9" fontId="25" fillId="0" borderId="137" xfId="2" applyFont="1" applyFill="1" applyBorder="1" applyAlignment="1">
      <alignment horizontal="right" vertical="center"/>
    </xf>
    <xf numFmtId="9" fontId="27" fillId="12" borderId="138" xfId="1" applyNumberFormat="1" applyFont="1" applyFill="1" applyBorder="1" applyAlignment="1">
      <alignment horizontal="left" vertical="center"/>
    </xf>
    <xf numFmtId="176" fontId="31" fillId="16" borderId="131" xfId="0" applyNumberFormat="1" applyFont="1" applyFill="1" applyBorder="1" applyAlignment="1">
      <alignment horizontal="center" vertical="center" wrapText="1"/>
    </xf>
    <xf numFmtId="0" fontId="29" fillId="17" borderId="137" xfId="0" applyFont="1" applyFill="1" applyBorder="1" applyAlignment="1">
      <alignment horizontal="left" vertical="center"/>
    </xf>
    <xf numFmtId="176" fontId="34" fillId="17" borderId="135" xfId="0" applyNumberFormat="1" applyFont="1" applyFill="1" applyBorder="1" applyAlignment="1">
      <alignment horizontal="center" vertical="center" wrapText="1"/>
    </xf>
    <xf numFmtId="176" fontId="34" fillId="17" borderId="136" xfId="0" applyNumberFormat="1" applyFont="1" applyFill="1" applyBorder="1" applyAlignment="1">
      <alignment horizontal="center" vertical="center"/>
    </xf>
    <xf numFmtId="9" fontId="29" fillId="0" borderId="137" xfId="2" applyFont="1" applyBorder="1" applyAlignment="1">
      <alignment horizontal="left" vertical="center"/>
    </xf>
    <xf numFmtId="43" fontId="31" fillId="17" borderId="142" xfId="0" applyNumberFormat="1" applyFont="1" applyFill="1" applyBorder="1" applyAlignment="1">
      <alignment horizontal="center" vertical="center"/>
    </xf>
    <xf numFmtId="43" fontId="31" fillId="17" borderId="143" xfId="0" applyNumberFormat="1" applyFont="1" applyFill="1" applyBorder="1" applyAlignment="1">
      <alignment horizontal="center" vertical="center"/>
    </xf>
    <xf numFmtId="43" fontId="29" fillId="17" borderId="137" xfId="0" applyNumberFormat="1" applyFont="1" applyFill="1" applyBorder="1" applyAlignment="1">
      <alignment horizontal="left" vertical="center"/>
    </xf>
    <xf numFmtId="43" fontId="34" fillId="17" borderId="135" xfId="0" applyNumberFormat="1" applyFont="1" applyFill="1" applyBorder="1" applyAlignment="1">
      <alignment horizontal="center" vertical="center" wrapText="1"/>
    </xf>
    <xf numFmtId="43" fontId="34" fillId="17" borderId="136" xfId="0" applyNumberFormat="1" applyFont="1" applyFill="1" applyBorder="1" applyAlignment="1">
      <alignment horizontal="center" vertical="center"/>
    </xf>
    <xf numFmtId="43" fontId="39" fillId="16" borderId="142" xfId="0" applyNumberFormat="1" applyFont="1" applyFill="1" applyBorder="1" applyAlignment="1">
      <alignment horizontal="center" vertical="center"/>
    </xf>
    <xf numFmtId="43" fontId="39" fillId="16" borderId="142" xfId="0" applyNumberFormat="1" applyFont="1" applyFill="1" applyBorder="1" applyAlignment="1">
      <alignment horizontal="center" vertical="center" wrapText="1"/>
    </xf>
    <xf numFmtId="43" fontId="39" fillId="16" borderId="143" xfId="0" applyNumberFormat="1" applyFont="1" applyFill="1" applyBorder="1" applyAlignment="1">
      <alignment horizontal="center" vertical="center" wrapText="1"/>
    </xf>
    <xf numFmtId="43" fontId="31" fillId="16" borderId="135" xfId="0" applyNumberFormat="1" applyFont="1" applyFill="1" applyBorder="1" applyAlignment="1">
      <alignment horizontal="center" vertical="center"/>
    </xf>
    <xf numFmtId="180" fontId="27" fillId="0" borderId="137" xfId="0" applyNumberFormat="1" applyFont="1" applyBorder="1" applyAlignment="1">
      <alignment horizontal="left" wrapText="1"/>
    </xf>
    <xf numFmtId="180" fontId="27" fillId="0" borderId="137" xfId="0" applyNumberFormat="1" applyFont="1" applyBorder="1" applyAlignment="1">
      <alignment horizontal="left" vertical="center" wrapText="1"/>
    </xf>
    <xf numFmtId="0" fontId="26" fillId="21" borderId="0" xfId="0" applyFont="1" applyFill="1" applyAlignment="1">
      <alignment horizontal="center" vertical="center"/>
    </xf>
    <xf numFmtId="180" fontId="26" fillId="21" borderId="0" xfId="0" applyNumberFormat="1" applyFont="1" applyFill="1">
      <alignment vertical="center"/>
    </xf>
    <xf numFmtId="0" fontId="27" fillId="21" borderId="0" xfId="0" applyFont="1" applyFill="1">
      <alignment vertical="center"/>
    </xf>
    <xf numFmtId="9" fontId="32" fillId="17" borderId="130" xfId="2" applyFont="1" applyFill="1" applyBorder="1" applyAlignment="1">
      <alignment horizontal="left" vertical="center"/>
    </xf>
    <xf numFmtId="180" fontId="23" fillId="18" borderId="146" xfId="2" applyNumberFormat="1" applyFont="1" applyFill="1" applyBorder="1" applyAlignment="1">
      <alignment horizontal="left" vertical="center" wrapText="1"/>
    </xf>
    <xf numFmtId="0" fontId="2" fillId="21" borderId="0" xfId="0" applyFont="1" applyFill="1">
      <alignment vertical="center"/>
    </xf>
    <xf numFmtId="43" fontId="32" fillId="17" borderId="135" xfId="1" applyFont="1" applyFill="1" applyBorder="1" applyAlignment="1">
      <alignment horizontal="right" vertical="center"/>
    </xf>
    <xf numFmtId="43" fontId="32" fillId="17" borderId="136" xfId="1" applyFont="1" applyFill="1" applyBorder="1" applyAlignment="1">
      <alignment horizontal="right" vertical="center"/>
    </xf>
    <xf numFmtId="43" fontId="32" fillId="17" borderId="137" xfId="1" applyFont="1" applyFill="1" applyBorder="1" applyAlignment="1">
      <alignment horizontal="right" vertical="center"/>
    </xf>
    <xf numFmtId="43" fontId="31" fillId="0" borderId="136" xfId="1" applyFont="1" applyFill="1" applyBorder="1" applyAlignment="1">
      <alignment horizontal="right" vertical="center"/>
    </xf>
    <xf numFmtId="43" fontId="27" fillId="0" borderId="137" xfId="2" applyNumberFormat="1" applyFont="1" applyBorder="1" applyAlignment="1">
      <alignment horizontal="left" vertical="center" wrapText="1"/>
    </xf>
    <xf numFmtId="43" fontId="27" fillId="0" borderId="138" xfId="1" applyFont="1" applyBorder="1" applyAlignment="1">
      <alignment horizontal="left" vertical="center"/>
    </xf>
    <xf numFmtId="43" fontId="27" fillId="0" borderId="135" xfId="1" applyFont="1" applyBorder="1" applyAlignment="1">
      <alignment horizontal="right" vertical="center" wrapText="1"/>
    </xf>
    <xf numFmtId="43" fontId="22" fillId="0" borderId="135" xfId="0" applyNumberFormat="1" applyFont="1" applyBorder="1">
      <alignment vertical="center"/>
    </xf>
    <xf numFmtId="43" fontId="22" fillId="0" borderId="136" xfId="0" applyNumberFormat="1" applyFont="1" applyBorder="1">
      <alignment vertical="center"/>
    </xf>
    <xf numFmtId="43" fontId="27" fillId="0" borderId="138" xfId="0" applyNumberFormat="1" applyFont="1" applyBorder="1" applyAlignment="1">
      <alignment horizontal="left" vertical="center"/>
    </xf>
    <xf numFmtId="43" fontId="22" fillId="0" borderId="135" xfId="1" applyFont="1" applyBorder="1">
      <alignment vertical="center"/>
    </xf>
    <xf numFmtId="43" fontId="22" fillId="0" borderId="136" xfId="1" applyFont="1" applyBorder="1">
      <alignment vertical="center"/>
    </xf>
    <xf numFmtId="43" fontId="27" fillId="0" borderId="135" xfId="0" applyNumberFormat="1" applyFont="1" applyBorder="1" applyAlignment="1">
      <alignment horizontal="left" vertical="center" wrapText="1"/>
    </xf>
    <xf numFmtId="43" fontId="29" fillId="0" borderId="138" xfId="1" applyFont="1" applyFill="1" applyBorder="1" applyAlignment="1">
      <alignment horizontal="left" vertical="center"/>
    </xf>
    <xf numFmtId="43" fontId="36" fillId="0" borderId="135" xfId="0" applyNumberFormat="1" applyFont="1" applyBorder="1" applyAlignment="1">
      <alignment horizontal="left" vertical="center" wrapText="1"/>
    </xf>
    <xf numFmtId="43" fontId="23" fillId="0" borderId="136" xfId="1" applyFont="1" applyBorder="1">
      <alignment vertical="center"/>
    </xf>
    <xf numFmtId="43" fontId="23" fillId="18" borderId="135" xfId="1" applyFont="1" applyFill="1" applyBorder="1" applyAlignment="1">
      <alignment horizontal="right" vertical="center"/>
    </xf>
    <xf numFmtId="43" fontId="23" fillId="18" borderId="136" xfId="1" applyFont="1" applyFill="1" applyBorder="1" applyAlignment="1">
      <alignment horizontal="right" vertical="center"/>
    </xf>
    <xf numFmtId="43" fontId="34" fillId="18" borderId="137" xfId="1" applyFont="1" applyFill="1" applyBorder="1" applyAlignment="1">
      <alignment horizontal="right" vertical="center"/>
    </xf>
    <xf numFmtId="43" fontId="34" fillId="18" borderId="136" xfId="1" applyFont="1" applyFill="1" applyBorder="1" applyAlignment="1">
      <alignment horizontal="right" vertical="center"/>
    </xf>
    <xf numFmtId="43" fontId="23" fillId="18" borderId="137" xfId="2" applyNumberFormat="1" applyFont="1" applyFill="1" applyBorder="1" applyAlignment="1">
      <alignment horizontal="left" vertical="center" wrapText="1"/>
    </xf>
    <xf numFmtId="43" fontId="36" fillId="18" borderId="138" xfId="1" applyFont="1" applyFill="1" applyBorder="1" applyAlignment="1">
      <alignment horizontal="left" vertical="center"/>
    </xf>
    <xf numFmtId="178" fontId="23" fillId="18" borderId="147" xfId="1" applyNumberFormat="1" applyFont="1" applyFill="1" applyBorder="1" applyAlignment="1">
      <alignment horizontal="right" vertical="center"/>
    </xf>
    <xf numFmtId="178" fontId="23" fillId="18" borderId="148" xfId="1" applyNumberFormat="1" applyFont="1" applyFill="1" applyBorder="1" applyAlignment="1">
      <alignment horizontal="right" vertical="center"/>
    </xf>
    <xf numFmtId="9" fontId="34" fillId="18" borderId="149" xfId="2" applyFont="1" applyFill="1" applyBorder="1" applyAlignment="1">
      <alignment horizontal="right" vertical="center"/>
    </xf>
    <xf numFmtId="9" fontId="34" fillId="18" borderId="148" xfId="1" applyNumberFormat="1" applyFont="1" applyFill="1" applyBorder="1" applyAlignment="1">
      <alignment horizontal="right" vertical="center"/>
    </xf>
    <xf numFmtId="9" fontId="23" fillId="18" borderId="149" xfId="2" applyFont="1" applyFill="1" applyBorder="1" applyAlignment="1">
      <alignment horizontal="left" vertical="center" wrapText="1"/>
    </xf>
    <xf numFmtId="178" fontId="36" fillId="18" borderId="150" xfId="1" applyNumberFormat="1" applyFont="1" applyFill="1" applyBorder="1" applyAlignment="1">
      <alignment horizontal="left" vertical="center"/>
    </xf>
    <xf numFmtId="0" fontId="2" fillId="21" borderId="0" xfId="0" applyFont="1" applyFill="1" applyAlignment="1">
      <alignment horizontal="right" vertical="center"/>
    </xf>
    <xf numFmtId="0" fontId="26" fillId="21" borderId="0" xfId="0" applyFont="1" applyFill="1" applyAlignment="1">
      <alignment horizontal="right" vertical="center"/>
    </xf>
    <xf numFmtId="43" fontId="29" fillId="0" borderId="137" xfId="1" applyFont="1" applyFill="1" applyBorder="1" applyAlignment="1">
      <alignment horizontal="left" vertical="center"/>
    </xf>
    <xf numFmtId="43" fontId="31" fillId="0" borderId="136" xfId="1" applyFont="1" applyBorder="1" applyAlignment="1">
      <alignment horizontal="right" vertical="center"/>
    </xf>
    <xf numFmtId="43" fontId="31" fillId="0" borderId="135" xfId="0" applyNumberFormat="1" applyFont="1" applyBorder="1">
      <alignment vertical="center"/>
    </xf>
    <xf numFmtId="43" fontId="31" fillId="0" borderId="136" xfId="0" applyNumberFormat="1" applyFont="1" applyBorder="1">
      <alignment vertical="center"/>
    </xf>
    <xf numFmtId="43" fontId="31" fillId="0" borderId="135" xfId="1" applyFont="1" applyBorder="1">
      <alignment vertical="center"/>
    </xf>
    <xf numFmtId="43" fontId="31" fillId="0" borderId="136" xfId="1" applyFont="1" applyBorder="1">
      <alignment vertical="center"/>
    </xf>
    <xf numFmtId="43" fontId="31" fillId="0" borderId="135" xfId="1" applyFont="1" applyFill="1" applyBorder="1" applyAlignment="1">
      <alignment horizontal="center" vertical="center"/>
    </xf>
    <xf numFmtId="43" fontId="35" fillId="18" borderId="137" xfId="1" applyFont="1" applyFill="1" applyBorder="1" applyAlignment="1">
      <alignment horizontal="left" vertical="center"/>
    </xf>
    <xf numFmtId="43" fontId="34" fillId="18" borderId="135" xfId="0" applyNumberFormat="1" applyFont="1" applyFill="1" applyBorder="1" applyAlignment="1">
      <alignment horizontal="right" vertical="center" wrapText="1"/>
    </xf>
    <xf numFmtId="43" fontId="34" fillId="18" borderId="136" xfId="0" applyNumberFormat="1" applyFont="1" applyFill="1" applyBorder="1" applyAlignment="1">
      <alignment horizontal="right" vertical="center"/>
    </xf>
    <xf numFmtId="178" fontId="35" fillId="18" borderId="149" xfId="1" applyNumberFormat="1" applyFont="1" applyFill="1" applyBorder="1" applyAlignment="1">
      <alignment horizontal="left" vertical="center"/>
    </xf>
    <xf numFmtId="180" fontId="34" fillId="18" borderId="147" xfId="0" applyNumberFormat="1" applyFont="1" applyFill="1" applyBorder="1" applyAlignment="1">
      <alignment horizontal="right" vertical="center" wrapText="1"/>
    </xf>
    <xf numFmtId="180" fontId="34" fillId="18" borderId="148" xfId="0" applyNumberFormat="1" applyFont="1" applyFill="1" applyBorder="1" applyAlignment="1">
      <alignment horizontal="right" vertical="center"/>
    </xf>
    <xf numFmtId="0" fontId="63" fillId="17" borderId="30" xfId="0" applyFont="1" applyFill="1" applyBorder="1">
      <alignment vertical="center"/>
    </xf>
    <xf numFmtId="0" fontId="64" fillId="12" borderId="31" xfId="0" applyFont="1" applyFill="1" applyBorder="1" applyAlignment="1">
      <alignment vertical="center" wrapText="1"/>
    </xf>
    <xf numFmtId="0" fontId="30" fillId="12" borderId="16" xfId="0" applyFont="1" applyFill="1" applyBorder="1" applyAlignment="1">
      <alignment horizontal="center" vertical="center"/>
    </xf>
    <xf numFmtId="0" fontId="30" fillId="12" borderId="17" xfId="0" applyFont="1" applyFill="1" applyBorder="1" applyAlignment="1">
      <alignment horizontal="center" vertical="center"/>
    </xf>
    <xf numFmtId="0" fontId="30" fillId="12" borderId="32" xfId="0" applyFont="1" applyFill="1" applyBorder="1" applyAlignment="1">
      <alignment horizontal="center" vertical="center"/>
    </xf>
    <xf numFmtId="0" fontId="48" fillId="12" borderId="16" xfId="0" applyFont="1" applyFill="1" applyBorder="1" applyAlignment="1">
      <alignment horizontal="center" vertical="center"/>
    </xf>
    <xf numFmtId="0" fontId="48" fillId="12" borderId="17" xfId="0" applyFont="1" applyFill="1" applyBorder="1" applyAlignment="1">
      <alignment horizontal="center" vertical="center"/>
    </xf>
    <xf numFmtId="0" fontId="48" fillId="12" borderId="32" xfId="0" applyFont="1" applyFill="1" applyBorder="1" applyAlignment="1">
      <alignment horizontal="center" vertical="center"/>
    </xf>
    <xf numFmtId="0" fontId="26" fillId="12" borderId="16" xfId="0" applyFont="1" applyFill="1" applyBorder="1" applyAlignment="1">
      <alignment horizontal="center" vertical="center"/>
    </xf>
    <xf numFmtId="0" fontId="26" fillId="12" borderId="17" xfId="0" applyFont="1" applyFill="1" applyBorder="1" applyAlignment="1">
      <alignment horizontal="center" vertical="center"/>
    </xf>
    <xf numFmtId="0" fontId="26" fillId="12" borderId="32" xfId="0" applyFont="1" applyFill="1" applyBorder="1" applyAlignment="1">
      <alignment horizontal="center" vertical="center"/>
    </xf>
    <xf numFmtId="0" fontId="2" fillId="12" borderId="16" xfId="0" applyFont="1" applyFill="1" applyBorder="1" applyAlignment="1">
      <alignment horizontal="center" vertical="center"/>
    </xf>
    <xf numFmtId="0" fontId="2" fillId="12" borderId="17" xfId="0" applyFont="1" applyFill="1" applyBorder="1" applyAlignment="1">
      <alignment horizontal="center" vertical="center"/>
    </xf>
    <xf numFmtId="0" fontId="2" fillId="12" borderId="32" xfId="0" applyFont="1" applyFill="1" applyBorder="1" applyAlignment="1">
      <alignment horizontal="center" vertical="center"/>
    </xf>
    <xf numFmtId="0" fontId="23" fillId="19" borderId="72" xfId="0" applyFont="1" applyFill="1" applyBorder="1" applyAlignment="1">
      <alignment horizontal="center" vertical="center"/>
    </xf>
    <xf numFmtId="180" fontId="23" fillId="19" borderId="71" xfId="0" applyNumberFormat="1" applyFont="1" applyFill="1" applyBorder="1" applyAlignment="1">
      <alignment horizontal="center" vertical="center"/>
    </xf>
    <xf numFmtId="0" fontId="23" fillId="19" borderId="70" xfId="0" applyFont="1" applyFill="1" applyBorder="1" applyAlignment="1">
      <alignment horizontal="center" vertical="center"/>
    </xf>
    <xf numFmtId="0" fontId="23" fillId="19" borderId="83" xfId="0" applyFont="1" applyFill="1" applyBorder="1" applyAlignment="1">
      <alignment horizontal="center" vertical="center"/>
    </xf>
    <xf numFmtId="0" fontId="23" fillId="19" borderId="84" xfId="0" applyFont="1" applyFill="1" applyBorder="1" applyAlignment="1">
      <alignment horizontal="center" vertical="center"/>
    </xf>
    <xf numFmtId="0" fontId="2" fillId="13" borderId="2" xfId="0" applyFont="1" applyFill="1" applyBorder="1" applyAlignment="1">
      <alignment horizontal="center" vertical="center" wrapText="1"/>
    </xf>
    <xf numFmtId="0" fontId="2" fillId="13" borderId="3" xfId="0" applyFont="1" applyFill="1" applyBorder="1" applyAlignment="1">
      <alignment horizontal="center" vertical="center" wrapText="1"/>
    </xf>
    <xf numFmtId="0" fontId="2" fillId="14" borderId="2" xfId="0" applyFont="1" applyFill="1" applyBorder="1" applyAlignment="1">
      <alignment horizontal="center" vertical="center" wrapText="1"/>
    </xf>
    <xf numFmtId="0" fontId="2" fillId="14" borderId="3" xfId="0" applyFont="1" applyFill="1" applyBorder="1" applyAlignment="1">
      <alignment horizontal="center" vertical="center" wrapText="1"/>
    </xf>
    <xf numFmtId="0" fontId="2" fillId="14" borderId="6" xfId="0" applyFont="1" applyFill="1" applyBorder="1" applyAlignment="1">
      <alignment horizontal="center" vertical="center" wrapText="1"/>
    </xf>
    <xf numFmtId="9" fontId="2" fillId="14" borderId="2" xfId="2" applyFont="1" applyFill="1" applyBorder="1" applyAlignment="1">
      <alignment horizontal="center" vertical="center"/>
    </xf>
    <xf numFmtId="0" fontId="2" fillId="14" borderId="3" xfId="0" applyFont="1" applyFill="1" applyBorder="1" applyAlignment="1">
      <alignment horizontal="center" vertical="center"/>
    </xf>
    <xf numFmtId="0" fontId="2" fillId="14" borderId="6" xfId="0" applyFont="1" applyFill="1" applyBorder="1" applyAlignment="1">
      <alignment horizontal="center" vertical="center"/>
    </xf>
    <xf numFmtId="0" fontId="2" fillId="13" borderId="17" xfId="0" applyFont="1" applyFill="1" applyBorder="1" applyAlignment="1">
      <alignment horizontal="center" vertical="center" wrapText="1"/>
    </xf>
    <xf numFmtId="0" fontId="2" fillId="13" borderId="32" xfId="0" applyFont="1" applyFill="1" applyBorder="1" applyAlignment="1">
      <alignment horizontal="center" vertical="center" wrapText="1"/>
    </xf>
    <xf numFmtId="0" fontId="2" fillId="14" borderId="17" xfId="0" applyFont="1" applyFill="1" applyBorder="1" applyAlignment="1">
      <alignment horizontal="center" vertical="center" wrapText="1"/>
    </xf>
    <xf numFmtId="0" fontId="2" fillId="14" borderId="32" xfId="0" applyFont="1" applyFill="1" applyBorder="1" applyAlignment="1">
      <alignment horizontal="center" vertical="center" wrapText="1"/>
    </xf>
    <xf numFmtId="0" fontId="67" fillId="19" borderId="70" xfId="0" applyFont="1" applyFill="1" applyBorder="1" applyAlignment="1">
      <alignment horizontal="center" vertical="center"/>
    </xf>
    <xf numFmtId="0" fontId="23" fillId="19" borderId="85" xfId="0" applyFont="1" applyFill="1" applyBorder="1" applyAlignment="1">
      <alignment horizontal="center" vertical="center"/>
    </xf>
    <xf numFmtId="0" fontId="23" fillId="19" borderId="75" xfId="0" applyFont="1" applyFill="1" applyBorder="1" applyAlignment="1">
      <alignment horizontal="center" vertical="center"/>
    </xf>
    <xf numFmtId="0" fontId="22" fillId="16" borderId="18" xfId="0" applyFont="1" applyFill="1" applyBorder="1" applyAlignment="1">
      <alignment horizontal="center" vertical="center"/>
    </xf>
    <xf numFmtId="0" fontId="22" fillId="16" borderId="19" xfId="0" applyFont="1" applyFill="1" applyBorder="1" applyAlignment="1">
      <alignment horizontal="center" vertical="center"/>
    </xf>
    <xf numFmtId="176" fontId="31" fillId="16" borderId="139" xfId="0" applyNumberFormat="1" applyFont="1" applyFill="1" applyBorder="1" applyAlignment="1">
      <alignment horizontal="center" vertical="center"/>
    </xf>
    <xf numFmtId="0" fontId="31" fillId="16" borderId="139" xfId="0" applyFont="1" applyFill="1" applyBorder="1" applyAlignment="1">
      <alignment horizontal="center" vertical="center"/>
    </xf>
    <xf numFmtId="0" fontId="31" fillId="16" borderId="140" xfId="0" applyFont="1" applyFill="1" applyBorder="1" applyAlignment="1">
      <alignment horizontal="center" vertical="center"/>
    </xf>
    <xf numFmtId="0" fontId="32" fillId="17" borderId="25" xfId="0" applyFont="1" applyFill="1" applyBorder="1" applyAlignment="1">
      <alignment horizontal="left" vertical="center"/>
    </xf>
    <xf numFmtId="0" fontId="32" fillId="17" borderId="26" xfId="0" applyFont="1" applyFill="1" applyBorder="1" applyAlignment="1">
      <alignment horizontal="left" vertical="center"/>
    </xf>
    <xf numFmtId="176" fontId="31" fillId="17" borderId="141" xfId="0" applyNumberFormat="1" applyFont="1" applyFill="1" applyBorder="1" applyAlignment="1">
      <alignment horizontal="center" vertical="center"/>
    </xf>
    <xf numFmtId="176" fontId="31" fillId="17" borderId="138" xfId="0" applyNumberFormat="1" applyFont="1" applyFill="1" applyBorder="1" applyAlignment="1">
      <alignment horizontal="center" vertical="center"/>
    </xf>
    <xf numFmtId="0" fontId="31" fillId="17" borderId="142" xfId="0" applyFont="1" applyFill="1" applyBorder="1" applyAlignment="1">
      <alignment horizontal="center" vertical="center"/>
    </xf>
    <xf numFmtId="0" fontId="31" fillId="17" borderId="143" xfId="0" applyFont="1" applyFill="1" applyBorder="1" applyAlignment="1">
      <alignment horizontal="center" vertical="center"/>
    </xf>
    <xf numFmtId="176" fontId="23" fillId="18" borderId="135" xfId="0" applyNumberFormat="1" applyFont="1" applyFill="1" applyBorder="1" applyAlignment="1">
      <alignment horizontal="right" vertical="center"/>
    </xf>
    <xf numFmtId="176" fontId="23" fillId="18" borderId="136" xfId="0" applyNumberFormat="1" applyFont="1" applyFill="1" applyBorder="1" applyAlignment="1">
      <alignment horizontal="right" vertical="center"/>
    </xf>
    <xf numFmtId="43" fontId="22" fillId="19" borderId="135" xfId="1" applyFont="1" applyFill="1" applyBorder="1" applyAlignment="1">
      <alignment horizontal="center" vertical="center" wrapText="1"/>
    </xf>
    <xf numFmtId="43" fontId="22" fillId="19" borderId="136" xfId="1" applyFont="1" applyFill="1" applyBorder="1" applyAlignment="1">
      <alignment horizontal="center" vertical="center" wrapText="1"/>
    </xf>
    <xf numFmtId="43" fontId="22" fillId="12" borderId="135" xfId="1" applyFont="1" applyFill="1" applyBorder="1" applyAlignment="1">
      <alignment horizontal="center" vertical="center" wrapText="1"/>
    </xf>
    <xf numFmtId="43" fontId="22" fillId="12" borderId="136" xfId="1" applyFont="1" applyFill="1" applyBorder="1" applyAlignment="1">
      <alignment horizontal="center" vertical="center" wrapText="1"/>
    </xf>
    <xf numFmtId="43" fontId="31" fillId="0" borderId="142" xfId="1" applyFont="1" applyBorder="1" applyAlignment="1">
      <alignment horizontal="center" vertical="center"/>
    </xf>
    <xf numFmtId="43" fontId="31" fillId="0" borderId="143" xfId="1" applyFont="1" applyBorder="1" applyAlignment="1">
      <alignment horizontal="center" vertical="center"/>
    </xf>
    <xf numFmtId="43" fontId="23" fillId="16" borderId="135" xfId="1" applyFont="1" applyFill="1" applyBorder="1" applyAlignment="1">
      <alignment horizontal="center" vertical="center" wrapText="1"/>
    </xf>
    <xf numFmtId="43" fontId="23" fillId="16" borderId="136" xfId="1" applyFont="1" applyFill="1" applyBorder="1" applyAlignment="1">
      <alignment horizontal="center" vertical="center" wrapText="1"/>
    </xf>
    <xf numFmtId="43" fontId="31" fillId="12" borderId="135" xfId="1" applyFont="1" applyFill="1" applyBorder="1" applyAlignment="1">
      <alignment horizontal="center" vertical="center" wrapText="1"/>
    </xf>
    <xf numFmtId="43" fontId="31" fillId="12" borderId="136" xfId="1" applyFont="1" applyFill="1" applyBorder="1" applyAlignment="1">
      <alignment horizontal="center" vertical="center" wrapText="1"/>
    </xf>
    <xf numFmtId="0" fontId="26" fillId="12" borderId="16" xfId="0" applyFont="1" applyFill="1" applyBorder="1" applyAlignment="1">
      <alignment horizontal="left" vertical="top" wrapText="1"/>
    </xf>
    <xf numFmtId="0" fontId="26" fillId="12" borderId="17" xfId="0" applyFont="1" applyFill="1" applyBorder="1" applyAlignment="1">
      <alignment horizontal="left" vertical="top" wrapText="1"/>
    </xf>
    <xf numFmtId="0" fontId="26" fillId="12" borderId="32" xfId="0" applyFont="1" applyFill="1" applyBorder="1" applyAlignment="1">
      <alignment horizontal="left" vertical="top" wrapText="1"/>
    </xf>
    <xf numFmtId="0" fontId="26" fillId="12" borderId="3" xfId="0" applyFont="1" applyFill="1" applyBorder="1" applyAlignment="1">
      <alignment horizontal="left" vertical="top" wrapText="1"/>
    </xf>
    <xf numFmtId="43" fontId="22" fillId="0" borderId="135" xfId="1" applyFont="1" applyFill="1" applyBorder="1" applyAlignment="1">
      <alignment horizontal="center" vertical="center" wrapText="1"/>
    </xf>
    <xf numFmtId="43" fontId="22" fillId="0" borderId="136" xfId="1" applyFont="1" applyFill="1" applyBorder="1" applyAlignment="1">
      <alignment horizontal="center" vertical="center" wrapText="1"/>
    </xf>
    <xf numFmtId="0" fontId="26" fillId="12" borderId="4" xfId="0" applyFont="1" applyFill="1" applyBorder="1" applyAlignment="1">
      <alignment horizontal="left" vertical="top" wrapText="1"/>
    </xf>
    <xf numFmtId="0" fontId="26" fillId="12" borderId="1" xfId="0" applyFont="1" applyFill="1" applyBorder="1" applyAlignment="1">
      <alignment horizontal="left" vertical="top" wrapText="1"/>
    </xf>
    <xf numFmtId="0" fontId="27" fillId="12" borderId="1" xfId="0" applyFont="1" applyFill="1" applyBorder="1" applyAlignment="1">
      <alignment horizontal="left" vertical="top" wrapText="1"/>
    </xf>
    <xf numFmtId="0" fontId="26" fillId="12" borderId="8" xfId="0" applyFont="1" applyFill="1" applyBorder="1" applyAlignment="1">
      <alignment horizontal="left" vertical="top" wrapText="1"/>
    </xf>
    <xf numFmtId="43" fontId="34" fillId="19" borderId="135" xfId="1" applyFont="1" applyFill="1" applyBorder="1" applyAlignment="1">
      <alignment horizontal="center" vertical="center" wrapText="1"/>
    </xf>
    <xf numFmtId="43" fontId="34" fillId="19" borderId="136" xfId="1" applyFont="1" applyFill="1" applyBorder="1" applyAlignment="1">
      <alignment horizontal="center" vertical="center" wrapText="1"/>
    </xf>
    <xf numFmtId="43" fontId="23" fillId="19" borderId="135" xfId="1" applyFont="1" applyFill="1" applyBorder="1" applyAlignment="1">
      <alignment horizontal="center" vertical="center" wrapText="1"/>
    </xf>
    <xf numFmtId="43" fontId="23" fillId="19" borderId="136" xfId="1" applyFont="1" applyFill="1" applyBorder="1" applyAlignment="1">
      <alignment horizontal="center" vertical="center" wrapText="1"/>
    </xf>
    <xf numFmtId="43" fontId="22" fillId="0" borderId="135" xfId="1" applyFont="1" applyBorder="1" applyAlignment="1">
      <alignment horizontal="center" vertical="center"/>
    </xf>
    <xf numFmtId="43" fontId="22" fillId="0" borderId="136" xfId="1" applyFont="1" applyBorder="1" applyAlignment="1">
      <alignment horizontal="center" vertical="center"/>
    </xf>
    <xf numFmtId="43" fontId="23" fillId="22" borderId="135" xfId="1" applyFont="1" applyFill="1" applyBorder="1" applyAlignment="1">
      <alignment horizontal="center" vertical="center"/>
    </xf>
    <xf numFmtId="43" fontId="23" fillId="22" borderId="136" xfId="1" applyFont="1" applyFill="1" applyBorder="1" applyAlignment="1">
      <alignment horizontal="center" vertical="center"/>
    </xf>
    <xf numFmtId="178" fontId="34" fillId="22" borderId="142" xfId="1" applyNumberFormat="1" applyFont="1" applyFill="1" applyBorder="1" applyAlignment="1">
      <alignment horizontal="center" vertical="center" wrapText="1"/>
    </xf>
    <xf numFmtId="178" fontId="34" fillId="22" borderId="143" xfId="1" applyNumberFormat="1" applyFont="1" applyFill="1" applyBorder="1" applyAlignment="1">
      <alignment horizontal="center" vertical="center" wrapText="1"/>
    </xf>
    <xf numFmtId="43" fontId="34" fillId="19" borderId="142" xfId="1" applyFont="1" applyFill="1" applyBorder="1" applyAlignment="1">
      <alignment horizontal="center" vertical="center" wrapText="1"/>
    </xf>
    <xf numFmtId="0" fontId="32" fillId="17" borderId="30" xfId="0" applyFont="1" applyFill="1" applyBorder="1" applyAlignment="1">
      <alignment horizontal="left" vertical="center"/>
    </xf>
    <xf numFmtId="0" fontId="32" fillId="17" borderId="31" xfId="0" applyFont="1" applyFill="1" applyBorder="1" applyAlignment="1">
      <alignment horizontal="left" vertical="center"/>
    </xf>
    <xf numFmtId="0" fontId="22" fillId="16" borderId="30" xfId="0" applyFont="1" applyFill="1" applyBorder="1" applyAlignment="1">
      <alignment horizontal="center" vertical="center"/>
    </xf>
    <xf numFmtId="0" fontId="22" fillId="16" borderId="31" xfId="0" applyFont="1" applyFill="1" applyBorder="1" applyAlignment="1">
      <alignment horizontal="center" vertical="center"/>
    </xf>
    <xf numFmtId="43" fontId="32" fillId="17" borderId="135" xfId="1" applyFont="1" applyFill="1" applyBorder="1" applyAlignment="1">
      <alignment horizontal="right" vertical="center"/>
    </xf>
    <xf numFmtId="43" fontId="32" fillId="17" borderId="135" xfId="1" applyFont="1" applyFill="1" applyBorder="1" applyAlignment="1">
      <alignment horizontal="center" vertical="center"/>
    </xf>
    <xf numFmtId="43" fontId="32" fillId="17" borderId="136" xfId="1" applyFont="1" applyFill="1" applyBorder="1" applyAlignment="1">
      <alignment horizontal="center" vertical="center"/>
    </xf>
    <xf numFmtId="43" fontId="31" fillId="0" borderId="142" xfId="1" applyFont="1" applyFill="1" applyBorder="1" applyAlignment="1">
      <alignment horizontal="center" vertical="center"/>
    </xf>
    <xf numFmtId="43" fontId="31" fillId="0" borderId="143" xfId="1" applyFont="1" applyFill="1" applyBorder="1" applyAlignment="1">
      <alignment horizontal="center" vertical="center"/>
    </xf>
    <xf numFmtId="9" fontId="34" fillId="18" borderId="151" xfId="2" applyFont="1" applyFill="1" applyBorder="1" applyAlignment="1">
      <alignment horizontal="right" vertical="center"/>
    </xf>
    <xf numFmtId="9" fontId="34" fillId="18" borderId="152" xfId="2" applyFont="1" applyFill="1" applyBorder="1" applyAlignment="1">
      <alignment horizontal="right" vertical="center"/>
    </xf>
    <xf numFmtId="0" fontId="22" fillId="12" borderId="54" xfId="0" applyFont="1" applyFill="1" applyBorder="1" applyAlignment="1">
      <alignment horizontal="center" vertical="center" wrapText="1"/>
    </xf>
    <xf numFmtId="0" fontId="22" fillId="12" borderId="55" xfId="0" applyFont="1" applyFill="1" applyBorder="1" applyAlignment="1">
      <alignment horizontal="center" vertical="center" wrapText="1"/>
    </xf>
    <xf numFmtId="0" fontId="22" fillId="12" borderId="56" xfId="0" applyFont="1" applyFill="1" applyBorder="1" applyAlignment="1">
      <alignment horizontal="center" vertical="center" wrapText="1"/>
    </xf>
    <xf numFmtId="0" fontId="22" fillId="12" borderId="30" xfId="0" applyFont="1" applyFill="1" applyBorder="1" applyAlignment="1">
      <alignment horizontal="center" vertical="center" wrapText="1"/>
    </xf>
    <xf numFmtId="0" fontId="23" fillId="19" borderId="73" xfId="0" applyFont="1" applyFill="1" applyBorder="1" applyAlignment="1">
      <alignment horizontal="center" vertical="center"/>
    </xf>
    <xf numFmtId="0" fontId="23" fillId="19" borderId="71" xfId="0" applyFont="1" applyFill="1" applyBorder="1" applyAlignment="1">
      <alignment horizontal="center" vertical="center" wrapText="1"/>
    </xf>
    <xf numFmtId="0" fontId="23" fillId="19" borderId="74" xfId="0" applyFont="1" applyFill="1" applyBorder="1" applyAlignment="1">
      <alignment horizontal="center" vertical="center"/>
    </xf>
    <xf numFmtId="0" fontId="22" fillId="12" borderId="0" xfId="0" applyFont="1" applyFill="1" applyAlignment="1">
      <alignment vertical="center" wrapText="1"/>
    </xf>
    <xf numFmtId="0" fontId="22" fillId="12" borderId="0" xfId="0" applyFont="1" applyFill="1">
      <alignment vertical="center"/>
    </xf>
    <xf numFmtId="0" fontId="65" fillId="21" borderId="16" xfId="0" applyFont="1" applyFill="1" applyBorder="1" applyAlignment="1">
      <alignment horizontal="left" vertical="center" wrapText="1"/>
    </xf>
    <xf numFmtId="0" fontId="65" fillId="21" borderId="17" xfId="0" applyFont="1" applyFill="1" applyBorder="1" applyAlignment="1">
      <alignment horizontal="left" vertical="center"/>
    </xf>
    <xf numFmtId="0" fontId="65" fillId="21" borderId="32" xfId="0" applyFont="1" applyFill="1" applyBorder="1" applyAlignment="1">
      <alignment horizontal="left" vertical="center"/>
    </xf>
    <xf numFmtId="43" fontId="22" fillId="12" borderId="97" xfId="0" applyNumberFormat="1" applyFont="1" applyFill="1" applyBorder="1" applyAlignment="1">
      <alignment horizontal="center" vertical="center"/>
    </xf>
    <xf numFmtId="43" fontId="22" fillId="12" borderId="100" xfId="0" applyNumberFormat="1" applyFont="1" applyFill="1" applyBorder="1" applyAlignment="1">
      <alignment horizontal="center" vertical="center"/>
    </xf>
    <xf numFmtId="43" fontId="22" fillId="12" borderId="92" xfId="0" applyNumberFormat="1" applyFont="1" applyFill="1" applyBorder="1" applyAlignment="1">
      <alignment horizontal="center" vertical="center"/>
    </xf>
    <xf numFmtId="43" fontId="22" fillId="12" borderId="98" xfId="0" applyNumberFormat="1" applyFont="1" applyFill="1" applyBorder="1" applyAlignment="1">
      <alignment horizontal="center" vertical="center"/>
    </xf>
    <xf numFmtId="43" fontId="22" fillId="12" borderId="101" xfId="0" applyNumberFormat="1" applyFont="1" applyFill="1" applyBorder="1" applyAlignment="1">
      <alignment horizontal="center" vertical="center"/>
    </xf>
    <xf numFmtId="43" fontId="22" fillId="12" borderId="93" xfId="0" applyNumberFormat="1" applyFont="1" applyFill="1" applyBorder="1" applyAlignment="1">
      <alignment horizontal="center" vertical="center"/>
    </xf>
    <xf numFmtId="43" fontId="22" fillId="12" borderId="99" xfId="0" applyNumberFormat="1" applyFont="1" applyFill="1" applyBorder="1" applyAlignment="1">
      <alignment horizontal="left" vertical="center" wrapText="1"/>
    </xf>
    <xf numFmtId="43" fontId="22" fillId="12" borderId="7" xfId="0" applyNumberFormat="1" applyFont="1" applyFill="1" applyBorder="1" applyAlignment="1">
      <alignment horizontal="left" vertical="center" wrapText="1"/>
    </xf>
    <xf numFmtId="43" fontId="22" fillId="12" borderId="94" xfId="0" applyNumberFormat="1" applyFont="1" applyFill="1" applyBorder="1" applyAlignment="1">
      <alignment horizontal="left" vertical="center" wrapText="1"/>
    </xf>
    <xf numFmtId="180" fontId="23" fillId="18" borderId="52" xfId="0" applyNumberFormat="1" applyFont="1" applyFill="1" applyBorder="1" applyAlignment="1">
      <alignment horizontal="center" vertical="center"/>
    </xf>
    <xf numFmtId="180" fontId="23" fillId="18" borderId="53" xfId="0" applyNumberFormat="1" applyFont="1" applyFill="1" applyBorder="1" applyAlignment="1">
      <alignment horizontal="center" vertical="center"/>
    </xf>
    <xf numFmtId="43" fontId="34" fillId="18" borderId="142" xfId="1" applyFont="1" applyFill="1" applyBorder="1" applyAlignment="1">
      <alignment horizontal="center" vertical="center"/>
    </xf>
    <xf numFmtId="43" fontId="34" fillId="18" borderId="143" xfId="1" applyFont="1" applyFill="1" applyBorder="1" applyAlignment="1">
      <alignment horizontal="center" vertical="center"/>
    </xf>
    <xf numFmtId="180" fontId="23" fillId="18" borderId="144" xfId="0" applyNumberFormat="1" applyFont="1" applyFill="1" applyBorder="1" applyAlignment="1">
      <alignment horizontal="center" vertical="center"/>
    </xf>
    <xf numFmtId="180" fontId="23" fillId="18" borderId="145" xfId="0" applyNumberFormat="1" applyFont="1" applyFill="1" applyBorder="1" applyAlignment="1">
      <alignment horizontal="center" vertical="center"/>
    </xf>
    <xf numFmtId="0" fontId="23" fillId="19" borderId="105" xfId="0" applyFont="1" applyFill="1" applyBorder="1" applyAlignment="1">
      <alignment horizontal="center" vertical="center"/>
    </xf>
    <xf numFmtId="0" fontId="23" fillId="20" borderId="72" xfId="0" applyFont="1" applyFill="1" applyBorder="1" applyAlignment="1">
      <alignment horizontal="center" vertical="center"/>
    </xf>
    <xf numFmtId="180" fontId="23" fillId="20" borderId="71" xfId="0" applyNumberFormat="1" applyFont="1" applyFill="1" applyBorder="1" applyAlignment="1">
      <alignment horizontal="center" vertical="center"/>
    </xf>
    <xf numFmtId="0" fontId="23" fillId="20" borderId="70" xfId="0" applyFont="1" applyFill="1" applyBorder="1" applyAlignment="1">
      <alignment horizontal="center" vertical="center"/>
    </xf>
    <xf numFmtId="0" fontId="2" fillId="12" borderId="0" xfId="0" applyFont="1" applyFill="1" applyAlignment="1">
      <alignment horizontal="center" vertical="center" wrapText="1"/>
    </xf>
    <xf numFmtId="0" fontId="9" fillId="12" borderId="16" xfId="0" applyFont="1" applyFill="1" applyBorder="1" applyAlignment="1">
      <alignment horizontal="left" vertical="center" wrapText="1"/>
    </xf>
    <xf numFmtId="0" fontId="9" fillId="12" borderId="17" xfId="0" applyFont="1" applyFill="1" applyBorder="1" applyAlignment="1">
      <alignment horizontal="left" vertical="center"/>
    </xf>
    <xf numFmtId="0" fontId="9" fillId="12" borderId="32" xfId="0" applyFont="1" applyFill="1" applyBorder="1" applyAlignment="1">
      <alignment horizontal="left" vertical="center"/>
    </xf>
    <xf numFmtId="0" fontId="23" fillId="20" borderId="83" xfId="0" applyFont="1" applyFill="1" applyBorder="1" applyAlignment="1">
      <alignment horizontal="center" vertical="center"/>
    </xf>
    <xf numFmtId="180" fontId="23" fillId="19" borderId="105" xfId="0" applyNumberFormat="1" applyFont="1" applyFill="1" applyBorder="1" applyAlignment="1">
      <alignment horizontal="center" vertical="center"/>
    </xf>
    <xf numFmtId="180" fontId="23" fillId="19" borderId="84" xfId="0" applyNumberFormat="1" applyFont="1" applyFill="1" applyBorder="1" applyAlignment="1">
      <alignment horizontal="center" vertical="center"/>
    </xf>
    <xf numFmtId="176" fontId="31" fillId="16" borderId="34" xfId="0" applyNumberFormat="1" applyFont="1" applyFill="1" applyBorder="1" applyAlignment="1">
      <alignment horizontal="center" vertical="center"/>
    </xf>
    <xf numFmtId="176" fontId="31" fillId="16" borderId="35" xfId="0" applyNumberFormat="1" applyFont="1" applyFill="1" applyBorder="1" applyAlignment="1">
      <alignment horizontal="center" vertical="center"/>
    </xf>
    <xf numFmtId="0" fontId="31" fillId="16" borderId="34" xfId="0" applyFont="1" applyFill="1" applyBorder="1" applyAlignment="1">
      <alignment horizontal="center" vertical="center"/>
    </xf>
    <xf numFmtId="0" fontId="31" fillId="16" borderId="36" xfId="0" applyFont="1" applyFill="1" applyBorder="1" applyAlignment="1">
      <alignment horizontal="center" vertical="center"/>
    </xf>
    <xf numFmtId="0" fontId="31" fillId="17" borderId="37" xfId="0" applyFont="1" applyFill="1" applyBorder="1" applyAlignment="1">
      <alignment horizontal="center" vertical="center"/>
    </xf>
    <xf numFmtId="0" fontId="31" fillId="17" borderId="39" xfId="0" applyFont="1" applyFill="1" applyBorder="1" applyAlignment="1">
      <alignment horizontal="center" vertical="center"/>
    </xf>
    <xf numFmtId="180" fontId="34" fillId="18" borderId="37" xfId="0" applyNumberFormat="1" applyFont="1" applyFill="1" applyBorder="1" applyAlignment="1">
      <alignment horizontal="right" vertical="center"/>
    </xf>
    <xf numFmtId="180" fontId="34" fillId="18" borderId="38" xfId="0" applyNumberFormat="1" applyFont="1" applyFill="1" applyBorder="1" applyAlignment="1">
      <alignment horizontal="right" vertical="center"/>
    </xf>
    <xf numFmtId="180" fontId="34" fillId="18" borderId="37" xfId="0" applyNumberFormat="1" applyFont="1" applyFill="1" applyBorder="1">
      <alignment vertical="center"/>
    </xf>
    <xf numFmtId="180" fontId="34" fillId="18" borderId="40" xfId="0" applyNumberFormat="1" applyFont="1" applyFill="1" applyBorder="1">
      <alignment vertical="center"/>
    </xf>
    <xf numFmtId="178" fontId="31" fillId="19" borderId="41" xfId="1" applyNumberFormat="1" applyFont="1" applyFill="1" applyBorder="1" applyAlignment="1">
      <alignment horizontal="center" vertical="center"/>
    </xf>
    <xf numFmtId="178" fontId="31" fillId="19" borderId="31" xfId="1" applyNumberFormat="1" applyFont="1" applyFill="1" applyBorder="1" applyAlignment="1">
      <alignment horizontal="center" vertical="center"/>
    </xf>
    <xf numFmtId="178" fontId="31" fillId="19" borderId="40" xfId="1" applyNumberFormat="1" applyFont="1" applyFill="1" applyBorder="1" applyAlignment="1">
      <alignment horizontal="center" vertical="center"/>
    </xf>
    <xf numFmtId="178" fontId="31" fillId="0" borderId="41" xfId="1" applyNumberFormat="1" applyFont="1" applyBorder="1" applyAlignment="1">
      <alignment horizontal="center" vertical="center"/>
    </xf>
    <xf numFmtId="178" fontId="31" fillId="0" borderId="31" xfId="1" applyNumberFormat="1" applyFont="1" applyBorder="1" applyAlignment="1">
      <alignment horizontal="center" vertical="center"/>
    </xf>
    <xf numFmtId="178" fontId="31" fillId="0" borderId="42" xfId="1" applyNumberFormat="1" applyFont="1" applyBorder="1" applyAlignment="1">
      <alignment horizontal="center" vertical="center"/>
    </xf>
    <xf numFmtId="178" fontId="34" fillId="16" borderId="41" xfId="1" applyNumberFormat="1" applyFont="1" applyFill="1" applyBorder="1" applyAlignment="1">
      <alignment horizontal="center" vertical="center" wrapText="1"/>
    </xf>
    <xf numFmtId="178" fontId="34" fillId="16" borderId="31" xfId="1" applyNumberFormat="1" applyFont="1" applyFill="1" applyBorder="1" applyAlignment="1">
      <alignment horizontal="center" vertical="center" wrapText="1"/>
    </xf>
    <xf numFmtId="178" fontId="34" fillId="16" borderId="40" xfId="1" applyNumberFormat="1" applyFont="1" applyFill="1" applyBorder="1" applyAlignment="1">
      <alignment horizontal="center" vertical="center" wrapText="1"/>
    </xf>
    <xf numFmtId="180" fontId="31" fillId="0" borderId="41" xfId="1" applyNumberFormat="1" applyFont="1" applyBorder="1" applyAlignment="1">
      <alignment horizontal="right" vertical="center"/>
    </xf>
    <xf numFmtId="178" fontId="31" fillId="0" borderId="43" xfId="1" applyNumberFormat="1" applyFont="1" applyBorder="1" applyAlignment="1">
      <alignment horizontal="center" vertical="center"/>
    </xf>
    <xf numFmtId="178" fontId="34" fillId="19" borderId="41" xfId="1" applyNumberFormat="1" applyFont="1" applyFill="1" applyBorder="1" applyAlignment="1">
      <alignment horizontal="center" vertical="center" wrapText="1"/>
    </xf>
    <xf numFmtId="178" fontId="34" fillId="19" borderId="31" xfId="1" applyNumberFormat="1" applyFont="1" applyFill="1" applyBorder="1" applyAlignment="1">
      <alignment horizontal="center" vertical="center" wrapText="1"/>
    </xf>
    <xf numFmtId="178" fontId="31" fillId="0" borderId="30" xfId="1" applyNumberFormat="1" applyFont="1" applyBorder="1" applyAlignment="1">
      <alignment horizontal="center" vertical="center"/>
    </xf>
    <xf numFmtId="178" fontId="31" fillId="19" borderId="41" xfId="1" applyNumberFormat="1" applyFont="1" applyFill="1" applyBorder="1" applyAlignment="1">
      <alignment horizontal="center" vertical="center" wrapText="1"/>
    </xf>
    <xf numFmtId="178" fontId="31" fillId="19" borderId="31" xfId="1" applyNumberFormat="1" applyFont="1" applyFill="1" applyBorder="1" applyAlignment="1">
      <alignment horizontal="center" vertical="center" wrapText="1"/>
    </xf>
    <xf numFmtId="178" fontId="31" fillId="19" borderId="37" xfId="1" applyNumberFormat="1" applyFont="1" applyFill="1" applyBorder="1" applyAlignment="1">
      <alignment horizontal="center" vertical="center" wrapText="1"/>
    </xf>
    <xf numFmtId="178" fontId="31" fillId="19" borderId="38" xfId="1" applyNumberFormat="1" applyFont="1" applyFill="1" applyBorder="1" applyAlignment="1">
      <alignment horizontal="center" vertical="center" wrapText="1"/>
    </xf>
    <xf numFmtId="180" fontId="32" fillId="17" borderId="39" xfId="0" applyNumberFormat="1" applyFont="1" applyFill="1" applyBorder="1" applyAlignment="1">
      <alignment horizontal="right" vertical="center"/>
    </xf>
    <xf numFmtId="180" fontId="32" fillId="17" borderId="40" xfId="0" applyNumberFormat="1" applyFont="1" applyFill="1" applyBorder="1" applyAlignment="1">
      <alignment horizontal="right" vertical="center"/>
    </xf>
    <xf numFmtId="178" fontId="31" fillId="0" borderId="41" xfId="1" applyNumberFormat="1" applyFont="1" applyFill="1" applyBorder="1" applyAlignment="1">
      <alignment horizontal="center" vertical="center"/>
    </xf>
    <xf numFmtId="178" fontId="31" fillId="0" borderId="37" xfId="1" applyNumberFormat="1" applyFont="1" applyFill="1" applyBorder="1" applyAlignment="1">
      <alignment horizontal="center" vertical="center"/>
    </xf>
    <xf numFmtId="178" fontId="31" fillId="0" borderId="57" xfId="1" applyNumberFormat="1" applyFont="1" applyFill="1" applyBorder="1" applyAlignment="1">
      <alignment horizontal="center" vertical="center"/>
    </xf>
    <xf numFmtId="178" fontId="34" fillId="18" borderId="41" xfId="1" applyNumberFormat="1" applyFont="1" applyFill="1" applyBorder="1" applyAlignment="1">
      <alignment horizontal="center" vertical="center"/>
    </xf>
    <xf numFmtId="178" fontId="34" fillId="18" borderId="37" xfId="1" applyNumberFormat="1" applyFont="1" applyFill="1" applyBorder="1" applyAlignment="1">
      <alignment horizontal="center" vertical="center"/>
    </xf>
    <xf numFmtId="178" fontId="34" fillId="18" borderId="53" xfId="1" applyNumberFormat="1" applyFont="1" applyFill="1" applyBorder="1" applyAlignment="1">
      <alignment horizontal="center" vertical="center"/>
    </xf>
    <xf numFmtId="9" fontId="34" fillId="18" borderId="41" xfId="2" applyFont="1" applyFill="1" applyBorder="1" applyAlignment="1">
      <alignment horizontal="right" vertical="center"/>
    </xf>
    <xf numFmtId="9" fontId="34" fillId="18" borderId="37" xfId="2" applyFont="1" applyFill="1" applyBorder="1" applyAlignment="1">
      <alignment horizontal="right" vertical="center"/>
    </xf>
    <xf numFmtId="9" fontId="34" fillId="18" borderId="53" xfId="2" applyFont="1" applyFill="1" applyBorder="1" applyAlignment="1">
      <alignment horizontal="right" vertical="center"/>
    </xf>
    <xf numFmtId="0" fontId="32" fillId="17" borderId="50" xfId="0" applyFont="1" applyFill="1" applyBorder="1" applyAlignment="1">
      <alignment horizontal="center" vertical="center"/>
    </xf>
    <xf numFmtId="0" fontId="32" fillId="17" borderId="51" xfId="0" applyFont="1" applyFill="1" applyBorder="1" applyAlignment="1">
      <alignment horizontal="center" vertical="center"/>
    </xf>
    <xf numFmtId="0" fontId="46" fillId="13" borderId="30" xfId="0" applyFont="1" applyFill="1" applyBorder="1" applyAlignment="1">
      <alignment horizontal="left" vertical="center"/>
    </xf>
    <xf numFmtId="0" fontId="46" fillId="13" borderId="31" xfId="0" applyFont="1" applyFill="1" applyBorder="1" applyAlignment="1">
      <alignment horizontal="left" vertical="center"/>
    </xf>
    <xf numFmtId="0" fontId="31" fillId="13" borderId="37" xfId="0" applyFont="1" applyFill="1" applyBorder="1" applyAlignment="1">
      <alignment horizontal="center" vertical="center" wrapText="1"/>
    </xf>
    <xf numFmtId="0" fontId="31" fillId="13" borderId="38" xfId="0" applyFont="1" applyFill="1" applyBorder="1" applyAlignment="1">
      <alignment horizontal="center" vertical="center" wrapText="1"/>
    </xf>
    <xf numFmtId="0" fontId="31" fillId="13" borderId="40" xfId="0" applyFont="1" applyFill="1" applyBorder="1" applyAlignment="1">
      <alignment horizontal="center" vertical="center" wrapText="1"/>
    </xf>
    <xf numFmtId="178" fontId="31" fillId="0" borderId="37" xfId="1" applyNumberFormat="1" applyFont="1" applyBorder="1" applyAlignment="1">
      <alignment horizontal="center" vertical="center"/>
    </xf>
    <xf numFmtId="178" fontId="31" fillId="0" borderId="38" xfId="1" applyNumberFormat="1" applyFont="1" applyBorder="1" applyAlignment="1">
      <alignment horizontal="center" vertical="center"/>
    </xf>
    <xf numFmtId="178" fontId="31" fillId="0" borderId="40" xfId="1" applyNumberFormat="1" applyFont="1" applyBorder="1" applyAlignment="1">
      <alignment horizontal="center" vertical="center"/>
    </xf>
    <xf numFmtId="180" fontId="31" fillId="0" borderId="66" xfId="0" applyNumberFormat="1" applyFont="1" applyBorder="1" applyAlignment="1">
      <alignment horizontal="right" vertical="center"/>
    </xf>
    <xf numFmtId="180" fontId="31" fillId="0" borderId="49" xfId="0" applyNumberFormat="1" applyFont="1" applyBorder="1" applyAlignment="1">
      <alignment horizontal="right" vertical="center"/>
    </xf>
    <xf numFmtId="178" fontId="31" fillId="0" borderId="67" xfId="1" applyNumberFormat="1" applyFont="1" applyBorder="1" applyAlignment="1">
      <alignment horizontal="center" vertical="center"/>
    </xf>
    <xf numFmtId="178" fontId="31" fillId="0" borderId="39" xfId="1" applyNumberFormat="1" applyFont="1" applyBorder="1" applyAlignment="1">
      <alignment horizontal="center" vertical="center"/>
    </xf>
    <xf numFmtId="0" fontId="26" fillId="12" borderId="16" xfId="0" applyFont="1" applyFill="1" applyBorder="1" applyAlignment="1">
      <alignment horizontal="left" vertical="center" wrapText="1"/>
    </xf>
    <xf numFmtId="0" fontId="26" fillId="12" borderId="17" xfId="0" applyFont="1" applyFill="1" applyBorder="1" applyAlignment="1">
      <alignment horizontal="left" vertical="center" wrapText="1"/>
    </xf>
    <xf numFmtId="9" fontId="26" fillId="12" borderId="17" xfId="2" applyFont="1" applyFill="1" applyBorder="1" applyAlignment="1">
      <alignment horizontal="left" vertical="center" wrapText="1"/>
    </xf>
    <xf numFmtId="0" fontId="27" fillId="12" borderId="17" xfId="0" applyFont="1" applyFill="1" applyBorder="1" applyAlignment="1">
      <alignment horizontal="left" vertical="center" wrapText="1"/>
    </xf>
    <xf numFmtId="0" fontId="26" fillId="12" borderId="32" xfId="0" applyFont="1" applyFill="1" applyBorder="1" applyAlignment="1">
      <alignment horizontal="left" vertical="center" wrapText="1"/>
    </xf>
    <xf numFmtId="0" fontId="21" fillId="0" borderId="1" xfId="0" applyFont="1" applyBorder="1" applyAlignment="1">
      <alignment horizontal="left" vertical="center"/>
    </xf>
    <xf numFmtId="0" fontId="21" fillId="0" borderId="2" xfId="0" applyFont="1" applyBorder="1" applyAlignment="1">
      <alignment horizontal="center" vertical="center"/>
    </xf>
    <xf numFmtId="0" fontId="21" fillId="0" borderId="3" xfId="0" applyFont="1" applyBorder="1" applyAlignment="1">
      <alignment horizontal="center" vertical="center"/>
    </xf>
    <xf numFmtId="0" fontId="6" fillId="8" borderId="2" xfId="0" applyFont="1" applyFill="1" applyBorder="1" applyAlignment="1">
      <alignment horizontal="center" vertical="center" wrapText="1"/>
    </xf>
    <xf numFmtId="0" fontId="6" fillId="8" borderId="3" xfId="0" applyFont="1" applyFill="1" applyBorder="1" applyAlignment="1">
      <alignment horizontal="center" vertical="center" wrapText="1"/>
    </xf>
    <xf numFmtId="0" fontId="4" fillId="0" borderId="2" xfId="0" applyFont="1" applyBorder="1" applyAlignment="1">
      <alignment horizontal="center" vertical="center" wrapText="1"/>
    </xf>
    <xf numFmtId="0" fontId="4" fillId="0" borderId="6" xfId="0" applyFont="1" applyBorder="1" applyAlignment="1">
      <alignment horizontal="center" vertical="center" wrapText="1"/>
    </xf>
    <xf numFmtId="0" fontId="6" fillId="8" borderId="3" xfId="0" applyFont="1" applyFill="1" applyBorder="1" applyAlignment="1">
      <alignment horizontal="center" vertical="center"/>
    </xf>
    <xf numFmtId="0" fontId="6" fillId="8" borderId="6" xfId="0" applyFont="1" applyFill="1" applyBorder="1" applyAlignment="1">
      <alignment horizontal="center" vertical="center"/>
    </xf>
    <xf numFmtId="0" fontId="21" fillId="0" borderId="4" xfId="0" applyFont="1" applyBorder="1" applyAlignment="1">
      <alignment horizontal="center" vertical="center"/>
    </xf>
    <xf numFmtId="0" fontId="21" fillId="0" borderId="1" xfId="0" applyFont="1" applyBorder="1" applyAlignment="1">
      <alignment horizontal="center" vertical="center"/>
    </xf>
    <xf numFmtId="31" fontId="21" fillId="0" borderId="1" xfId="0" applyNumberFormat="1" applyFont="1" applyBorder="1" applyAlignment="1">
      <alignment horizontal="left" vertical="center" wrapText="1"/>
    </xf>
    <xf numFmtId="0" fontId="21" fillId="0" borderId="1" xfId="0" applyFont="1" applyBorder="1" applyAlignment="1">
      <alignment horizontal="left" vertical="center" wrapText="1"/>
    </xf>
    <xf numFmtId="0" fontId="4" fillId="0" borderId="5" xfId="0" applyFont="1" applyBorder="1" applyAlignment="1">
      <alignment horizontal="center" vertical="center" wrapText="1"/>
    </xf>
    <xf numFmtId="0" fontId="4" fillId="0" borderId="7" xfId="0" applyFont="1" applyBorder="1" applyAlignment="1">
      <alignment horizontal="center" vertical="center" wrapText="1"/>
    </xf>
    <xf numFmtId="0" fontId="20" fillId="0" borderId="0" xfId="0" applyFont="1" applyAlignment="1">
      <alignment horizontal="left" vertical="center" wrapText="1"/>
    </xf>
    <xf numFmtId="0" fontId="2" fillId="0" borderId="0" xfId="0" applyFont="1" applyAlignment="1">
      <alignment horizontal="left" vertical="center" wrapText="1"/>
    </xf>
    <xf numFmtId="14" fontId="2" fillId="0" borderId="0" xfId="0" applyNumberFormat="1" applyFont="1" applyAlignment="1">
      <alignment horizontal="left" vertical="center" wrapText="1"/>
    </xf>
    <xf numFmtId="180" fontId="20" fillId="0" borderId="0" xfId="0" applyNumberFormat="1" applyFont="1" applyAlignment="1">
      <alignment horizontal="left" vertical="center" wrapText="1"/>
    </xf>
    <xf numFmtId="0" fontId="0" fillId="11" borderId="5" xfId="0" applyFill="1" applyBorder="1" applyAlignment="1">
      <alignment horizontal="center" vertical="center"/>
    </xf>
    <xf numFmtId="0" fontId="0" fillId="11" borderId="0" xfId="0" applyFill="1" applyAlignment="1">
      <alignment horizontal="center" vertical="center"/>
    </xf>
    <xf numFmtId="0" fontId="0" fillId="11" borderId="5" xfId="0" applyFill="1" applyBorder="1">
      <alignment vertical="center"/>
    </xf>
    <xf numFmtId="0" fontId="0" fillId="11" borderId="0" xfId="0" applyFill="1">
      <alignment vertical="center"/>
    </xf>
    <xf numFmtId="0" fontId="0" fillId="11" borderId="5" xfId="0" applyFill="1" applyBorder="1" applyAlignment="1">
      <alignment horizontal="left" vertical="center"/>
    </xf>
    <xf numFmtId="0" fontId="0" fillId="11" borderId="0" xfId="0" applyFill="1" applyAlignment="1">
      <alignment horizontal="left" vertical="center"/>
    </xf>
    <xf numFmtId="0" fontId="2" fillId="0" borderId="5" xfId="0" applyFont="1" applyBorder="1" applyAlignment="1">
      <alignment horizontal="center" vertical="center" wrapText="1"/>
    </xf>
    <xf numFmtId="0" fontId="0" fillId="0" borderId="5" xfId="0" applyBorder="1" applyAlignment="1">
      <alignment horizontal="center" vertical="center" wrapText="1"/>
    </xf>
    <xf numFmtId="0" fontId="4" fillId="0" borderId="1" xfId="0" applyFont="1" applyBorder="1" applyAlignment="1">
      <alignment horizontal="left" vertical="center"/>
    </xf>
    <xf numFmtId="0" fontId="4" fillId="0" borderId="2" xfId="0" applyFont="1" applyBorder="1" applyAlignment="1">
      <alignment horizontal="center" vertical="center"/>
    </xf>
    <xf numFmtId="0" fontId="4" fillId="0" borderId="3" xfId="0" applyFont="1" applyBorder="1" applyAlignment="1">
      <alignment horizontal="center" vertical="center"/>
    </xf>
    <xf numFmtId="0" fontId="4" fillId="8" borderId="3" xfId="0" applyFont="1" applyFill="1" applyBorder="1" applyAlignment="1">
      <alignment horizontal="center" vertical="center"/>
    </xf>
    <xf numFmtId="0" fontId="4" fillId="8" borderId="6" xfId="0" applyFont="1" applyFill="1" applyBorder="1" applyAlignment="1">
      <alignment horizontal="center" vertical="center"/>
    </xf>
    <xf numFmtId="0" fontId="4" fillId="0" borderId="4" xfId="0" applyFont="1" applyBorder="1" applyAlignment="1">
      <alignment horizontal="center" vertical="center"/>
    </xf>
    <xf numFmtId="0" fontId="4" fillId="0" borderId="1" xfId="0" applyFont="1" applyBorder="1" applyAlignment="1">
      <alignment horizontal="center" vertical="center"/>
    </xf>
    <xf numFmtId="31" fontId="3" fillId="0" borderId="1" xfId="0" applyNumberFormat="1" applyFont="1" applyBorder="1" applyAlignment="1">
      <alignment horizontal="left" vertical="center" wrapText="1"/>
    </xf>
    <xf numFmtId="0" fontId="3" fillId="0" borderId="1" xfId="0" applyFont="1" applyBorder="1" applyAlignment="1">
      <alignment horizontal="left" vertical="center" wrapText="1"/>
    </xf>
    <xf numFmtId="0" fontId="11" fillId="0" borderId="0" xfId="0" applyFont="1" applyAlignment="1">
      <alignment horizontal="left" vertical="center" wrapText="1"/>
    </xf>
    <xf numFmtId="181" fontId="11" fillId="0" borderId="0" xfId="0" applyNumberFormat="1" applyFont="1" applyAlignment="1">
      <alignment horizontal="left" vertical="center" wrapText="1"/>
    </xf>
    <xf numFmtId="180" fontId="11" fillId="0" borderId="0" xfId="0" applyNumberFormat="1" applyFont="1" applyAlignment="1">
      <alignment horizontal="left" vertical="center" wrapText="1"/>
    </xf>
    <xf numFmtId="0" fontId="11" fillId="0" borderId="5" xfId="0" applyFont="1" applyBorder="1" applyAlignment="1">
      <alignment horizontal="center" vertical="center" wrapText="1"/>
    </xf>
    <xf numFmtId="0" fontId="1" fillId="0" borderId="1" xfId="0" applyFont="1" applyBorder="1" applyAlignment="1">
      <alignment horizontal="left" vertical="center"/>
    </xf>
    <xf numFmtId="0" fontId="1" fillId="0" borderId="2" xfId="0" applyFont="1" applyBorder="1" applyAlignment="1">
      <alignment horizontal="center" vertical="center"/>
    </xf>
    <xf numFmtId="0" fontId="1" fillId="0" borderId="3" xfId="0" applyFont="1" applyBorder="1" applyAlignment="1">
      <alignment horizontal="center" vertical="center"/>
    </xf>
    <xf numFmtId="0" fontId="1" fillId="0" borderId="6" xfId="0" applyFont="1" applyBorder="1" applyAlignment="1">
      <alignment horizontal="center" vertical="center"/>
    </xf>
    <xf numFmtId="0" fontId="1" fillId="0" borderId="4" xfId="0" applyFont="1" applyBorder="1" applyAlignment="1">
      <alignment horizontal="center" vertical="center"/>
    </xf>
    <xf numFmtId="0" fontId="1" fillId="0" borderId="1" xfId="0" applyFont="1" applyBorder="1" applyAlignment="1">
      <alignment horizontal="center" vertical="center"/>
    </xf>
    <xf numFmtId="31" fontId="1" fillId="0" borderId="1" xfId="0" applyNumberFormat="1" applyFont="1" applyBorder="1" applyAlignment="1">
      <alignment horizontal="left" vertical="center" wrapText="1"/>
    </xf>
    <xf numFmtId="0" fontId="1" fillId="0" borderId="1" xfId="0" applyFont="1" applyBorder="1" applyAlignment="1">
      <alignment horizontal="left" vertical="center" wrapText="1"/>
    </xf>
    <xf numFmtId="176" fontId="1" fillId="6" borderId="0" xfId="0" applyNumberFormat="1" applyFont="1" applyFill="1" applyAlignment="1">
      <alignment horizontal="center" vertical="center" wrapText="1"/>
    </xf>
    <xf numFmtId="0" fontId="1" fillId="0" borderId="5" xfId="0" applyFont="1" applyBorder="1" applyAlignment="1">
      <alignment horizontal="center" vertical="center" wrapText="1"/>
    </xf>
    <xf numFmtId="0" fontId="1" fillId="0" borderId="0" xfId="0" applyFont="1" applyAlignment="1">
      <alignment horizontal="center" vertical="center" wrapText="1"/>
    </xf>
    <xf numFmtId="0" fontId="2" fillId="0" borderId="5" xfId="0" applyFont="1" applyBorder="1" applyAlignment="1">
      <alignment horizontal="left" vertical="center" wrapText="1"/>
    </xf>
    <xf numFmtId="0" fontId="2" fillId="0" borderId="7" xfId="0" applyFont="1" applyBorder="1" applyAlignment="1">
      <alignment horizontal="left" vertical="center" wrapText="1"/>
    </xf>
    <xf numFmtId="177" fontId="2" fillId="0" borderId="0" xfId="0" applyNumberFormat="1" applyFont="1" applyAlignment="1">
      <alignment horizontal="left" vertical="center" wrapText="1"/>
    </xf>
    <xf numFmtId="0" fontId="0" fillId="10" borderId="5" xfId="0" applyFill="1" applyBorder="1" applyAlignment="1">
      <alignment horizontal="left" vertical="center"/>
    </xf>
    <xf numFmtId="0" fontId="0" fillId="10" borderId="0" xfId="0" applyFill="1" applyAlignment="1">
      <alignment horizontal="left" vertical="center"/>
    </xf>
    <xf numFmtId="0" fontId="0" fillId="10" borderId="5" xfId="0" applyFill="1" applyBorder="1" applyAlignment="1">
      <alignment horizontal="center" vertical="center"/>
    </xf>
    <xf numFmtId="0" fontId="0" fillId="10" borderId="0" xfId="0" applyFill="1" applyAlignment="1">
      <alignment horizontal="center" vertical="center"/>
    </xf>
    <xf numFmtId="0" fontId="0" fillId="10" borderId="5" xfId="0" applyFill="1" applyBorder="1">
      <alignment vertical="center"/>
    </xf>
    <xf numFmtId="0" fontId="0" fillId="10" borderId="0" xfId="0" applyFill="1">
      <alignment vertical="center"/>
    </xf>
    <xf numFmtId="41" fontId="1" fillId="6" borderId="0" xfId="0" applyNumberFormat="1" applyFont="1" applyFill="1" applyAlignment="1">
      <alignment horizontal="center" vertical="center" wrapText="1"/>
    </xf>
    <xf numFmtId="41" fontId="1" fillId="6" borderId="7" xfId="0" applyNumberFormat="1" applyFont="1" applyFill="1" applyBorder="1" applyAlignment="1">
      <alignment horizontal="center" vertical="center" wrapText="1"/>
    </xf>
    <xf numFmtId="0" fontId="1" fillId="9" borderId="0" xfId="0" applyFont="1" applyFill="1" applyAlignment="1">
      <alignment horizontal="center" vertical="center"/>
    </xf>
    <xf numFmtId="14" fontId="8" fillId="0" borderId="0" xfId="0" applyNumberFormat="1" applyFont="1" applyAlignment="1">
      <alignment horizontal="left" vertical="center" wrapText="1"/>
    </xf>
    <xf numFmtId="0" fontId="0" fillId="5" borderId="5" xfId="0" applyFill="1" applyBorder="1" applyAlignment="1">
      <alignment horizontal="center" vertical="center"/>
    </xf>
    <xf numFmtId="0" fontId="0" fillId="5" borderId="0" xfId="0" applyFill="1" applyAlignment="1">
      <alignment horizontal="center" vertical="center"/>
    </xf>
    <xf numFmtId="0" fontId="0" fillId="5" borderId="5" xfId="0" applyFill="1" applyBorder="1">
      <alignment vertical="center"/>
    </xf>
    <xf numFmtId="0" fontId="0" fillId="5" borderId="0" xfId="0" applyFill="1">
      <alignment vertical="center"/>
    </xf>
    <xf numFmtId="0" fontId="0" fillId="5" borderId="5" xfId="0" applyFill="1" applyBorder="1" applyAlignment="1">
      <alignment horizontal="left" vertical="center"/>
    </xf>
    <xf numFmtId="0" fontId="0" fillId="5" borderId="0" xfId="0" applyFill="1" applyAlignment="1">
      <alignment horizontal="left" vertical="center"/>
    </xf>
    <xf numFmtId="0" fontId="0" fillId="2" borderId="5" xfId="0" applyFill="1" applyBorder="1" applyAlignment="1">
      <alignment horizontal="center" vertical="center" wrapText="1"/>
    </xf>
    <xf numFmtId="0" fontId="23" fillId="19" borderId="153" xfId="0" applyFont="1" applyFill="1" applyBorder="1" applyAlignment="1">
      <alignment horizontal="center" vertical="center"/>
    </xf>
    <xf numFmtId="183" fontId="69" fillId="6" borderId="80" xfId="0" applyNumberFormat="1" applyFont="1" applyFill="1" applyBorder="1">
      <alignment vertical="center"/>
    </xf>
    <xf numFmtId="0" fontId="9" fillId="12" borderId="70" xfId="0" applyFont="1" applyFill="1" applyBorder="1" applyAlignment="1">
      <alignment horizontal="center" vertical="center"/>
    </xf>
    <xf numFmtId="0" fontId="9" fillId="12" borderId="71" xfId="0" applyFont="1" applyFill="1" applyBorder="1">
      <alignment vertical="center"/>
    </xf>
    <xf numFmtId="0" fontId="9" fillId="12" borderId="72" xfId="0" applyFont="1" applyFill="1" applyBorder="1" applyAlignment="1">
      <alignment horizontal="left" vertical="center"/>
    </xf>
    <xf numFmtId="183" fontId="9" fillId="12" borderId="71" xfId="0" applyNumberFormat="1" applyFont="1" applyFill="1" applyBorder="1" applyAlignment="1">
      <alignment horizontal="right" vertical="center"/>
    </xf>
    <xf numFmtId="43" fontId="9" fillId="12" borderId="70" xfId="0" applyNumberFormat="1" applyFont="1" applyFill="1" applyBorder="1">
      <alignment vertical="center"/>
    </xf>
    <xf numFmtId="43" fontId="9" fillId="12" borderId="71" xfId="0" applyNumberFormat="1" applyFont="1" applyFill="1" applyBorder="1">
      <alignment vertical="center"/>
    </xf>
    <xf numFmtId="43" fontId="9" fillId="12" borderId="83" xfId="0" applyNumberFormat="1" applyFont="1" applyFill="1" applyBorder="1">
      <alignment vertical="center"/>
    </xf>
    <xf numFmtId="43" fontId="9" fillId="12" borderId="155" xfId="0" applyNumberFormat="1" applyFont="1" applyFill="1" applyBorder="1">
      <alignment vertical="center"/>
    </xf>
    <xf numFmtId="177" fontId="9" fillId="12" borderId="74" xfId="2" applyNumberFormat="1" applyFont="1" applyFill="1" applyBorder="1">
      <alignment vertical="center"/>
    </xf>
    <xf numFmtId="184" fontId="12" fillId="12" borderId="117" xfId="2" applyNumberFormat="1" applyFont="1" applyFill="1" applyBorder="1">
      <alignment vertical="center"/>
    </xf>
    <xf numFmtId="0" fontId="70" fillId="12" borderId="16" xfId="0" applyFont="1" applyFill="1" applyBorder="1" applyAlignment="1">
      <alignment horizontal="center" vertical="center"/>
    </xf>
    <xf numFmtId="0" fontId="70" fillId="12" borderId="17" xfId="0" applyFont="1" applyFill="1" applyBorder="1" applyAlignment="1">
      <alignment horizontal="center" vertical="center"/>
    </xf>
    <xf numFmtId="0" fontId="70" fillId="12" borderId="32" xfId="0" applyFont="1" applyFill="1" applyBorder="1" applyAlignment="1">
      <alignment horizontal="center" vertical="center"/>
    </xf>
    <xf numFmtId="184" fontId="9" fillId="12" borderId="81" xfId="0" applyNumberFormat="1" applyFont="1" applyFill="1" applyBorder="1">
      <alignment vertical="center"/>
    </xf>
    <xf numFmtId="43" fontId="9" fillId="12" borderId="78" xfId="0" applyNumberFormat="1" applyFont="1" applyFill="1" applyBorder="1">
      <alignment vertical="center"/>
    </xf>
    <xf numFmtId="176" fontId="9" fillId="12" borderId="94" xfId="0" applyNumberFormat="1" applyFont="1" applyFill="1" applyBorder="1">
      <alignment vertical="center"/>
    </xf>
    <xf numFmtId="0" fontId="67" fillId="19" borderId="156" xfId="0" applyFont="1" applyFill="1" applyBorder="1" applyAlignment="1">
      <alignment horizontal="center" vertical="center"/>
    </xf>
    <xf numFmtId="0" fontId="23" fillId="19" borderId="104" xfId="0" applyFont="1" applyFill="1" applyBorder="1" applyAlignment="1">
      <alignment horizontal="center" vertical="center"/>
    </xf>
    <xf numFmtId="183" fontId="9" fillId="12" borderId="76" xfId="0" applyNumberFormat="1" applyFont="1" applyFill="1" applyBorder="1">
      <alignment vertical="center"/>
    </xf>
    <xf numFmtId="183" fontId="9" fillId="12" borderId="158" xfId="0" applyNumberFormat="1" applyFont="1" applyFill="1" applyBorder="1">
      <alignment vertical="center"/>
    </xf>
    <xf numFmtId="183" fontId="9" fillId="12" borderId="159" xfId="0" applyNumberFormat="1" applyFont="1" applyFill="1" applyBorder="1">
      <alignment vertical="center"/>
    </xf>
    <xf numFmtId="183" fontId="22" fillId="12" borderId="159" xfId="0" applyNumberFormat="1" applyFont="1" applyFill="1" applyBorder="1">
      <alignment vertical="center"/>
    </xf>
    <xf numFmtId="184" fontId="9" fillId="12" borderId="160" xfId="0" applyNumberFormat="1" applyFont="1" applyFill="1" applyBorder="1">
      <alignment vertical="center"/>
    </xf>
    <xf numFmtId="0" fontId="23" fillId="19" borderId="161" xfId="0" applyFont="1" applyFill="1" applyBorder="1" applyAlignment="1">
      <alignment horizontal="center" vertical="center"/>
    </xf>
    <xf numFmtId="176" fontId="9" fillId="12" borderId="162" xfId="0" applyNumberFormat="1" applyFont="1" applyFill="1" applyBorder="1">
      <alignment vertical="center"/>
    </xf>
    <xf numFmtId="176" fontId="9" fillId="12" borderId="75" xfId="0" applyNumberFormat="1" applyFont="1" applyFill="1" applyBorder="1">
      <alignment vertical="center"/>
    </xf>
    <xf numFmtId="184" fontId="12" fillId="12" borderId="161" xfId="2" applyNumberFormat="1" applyFont="1" applyFill="1" applyBorder="1">
      <alignment vertical="center"/>
    </xf>
    <xf numFmtId="0" fontId="9" fillId="0" borderId="78" xfId="0" applyFont="1" applyFill="1" applyBorder="1" applyAlignment="1">
      <alignment horizontal="center" vertical="center"/>
    </xf>
    <xf numFmtId="183" fontId="9" fillId="0" borderId="77" xfId="0" applyNumberFormat="1" applyFont="1" applyFill="1" applyBorder="1">
      <alignment vertical="center"/>
    </xf>
    <xf numFmtId="183" fontId="9" fillId="0" borderId="76" xfId="0" applyNumberFormat="1" applyFont="1" applyFill="1" applyBorder="1">
      <alignment vertical="center"/>
    </xf>
    <xf numFmtId="176" fontId="9" fillId="0" borderId="94" xfId="0" applyNumberFormat="1" applyFont="1" applyFill="1" applyBorder="1">
      <alignment vertical="center"/>
    </xf>
    <xf numFmtId="176" fontId="9" fillId="0" borderId="162" xfId="0" applyNumberFormat="1" applyFont="1" applyFill="1" applyBorder="1">
      <alignment vertical="center"/>
    </xf>
    <xf numFmtId="176" fontId="9" fillId="0" borderId="78" xfId="0" applyNumberFormat="1" applyFont="1" applyFill="1" applyBorder="1">
      <alignment vertical="center"/>
    </xf>
    <xf numFmtId="0" fontId="9" fillId="0" borderId="81" xfId="0" applyFont="1" applyFill="1" applyBorder="1" applyAlignment="1">
      <alignment horizontal="center" vertical="center"/>
    </xf>
    <xf numFmtId="43" fontId="9" fillId="0" borderId="80" xfId="0" applyNumberFormat="1" applyFont="1" applyFill="1" applyBorder="1">
      <alignment vertical="center"/>
    </xf>
    <xf numFmtId="43" fontId="9" fillId="0" borderId="79" xfId="0" applyNumberFormat="1" applyFont="1" applyFill="1" applyBorder="1">
      <alignment vertical="center"/>
    </xf>
    <xf numFmtId="176" fontId="9" fillId="0" borderId="96" xfId="0" applyNumberFormat="1" applyFont="1" applyFill="1" applyBorder="1">
      <alignment vertical="center"/>
    </xf>
    <xf numFmtId="43" fontId="9" fillId="0" borderId="163" xfId="0" applyNumberFormat="1" applyFont="1" applyFill="1" applyBorder="1">
      <alignment vertical="center"/>
    </xf>
    <xf numFmtId="0" fontId="27" fillId="0" borderId="81" xfId="0" applyFont="1" applyFill="1" applyBorder="1" applyAlignment="1">
      <alignment horizontal="left" vertical="center"/>
    </xf>
    <xf numFmtId="43" fontId="22" fillId="0" borderId="80" xfId="0" applyNumberFormat="1" applyFont="1" applyFill="1" applyBorder="1">
      <alignment vertical="center"/>
    </xf>
    <xf numFmtId="43" fontId="22" fillId="0" borderId="79" xfId="0" applyNumberFormat="1" applyFont="1" applyFill="1" applyBorder="1">
      <alignment vertical="center"/>
    </xf>
    <xf numFmtId="176" fontId="27" fillId="0" borderId="96" xfId="0" applyNumberFormat="1" applyFont="1" applyFill="1" applyBorder="1" applyAlignment="1">
      <alignment horizontal="left" vertical="center"/>
    </xf>
    <xf numFmtId="43" fontId="22" fillId="0" borderId="163" xfId="0" applyNumberFormat="1" applyFont="1" applyFill="1" applyBorder="1">
      <alignment vertical="center"/>
    </xf>
    <xf numFmtId="43" fontId="22" fillId="0" borderId="81" xfId="0" applyNumberFormat="1" applyFont="1" applyFill="1" applyBorder="1">
      <alignment vertical="center"/>
    </xf>
    <xf numFmtId="0" fontId="27" fillId="0" borderId="81" xfId="0" applyFont="1" applyFill="1" applyBorder="1" applyAlignment="1">
      <alignment horizontal="left" vertical="center" wrapText="1"/>
    </xf>
    <xf numFmtId="43" fontId="27" fillId="0" borderId="79" xfId="0" applyNumberFormat="1" applyFont="1" applyFill="1" applyBorder="1" applyAlignment="1">
      <alignment vertical="center" wrapText="1"/>
    </xf>
    <xf numFmtId="0" fontId="22" fillId="0" borderId="81" xfId="0" applyFont="1" applyFill="1" applyBorder="1" applyAlignment="1">
      <alignment horizontal="left" vertical="center"/>
    </xf>
    <xf numFmtId="176" fontId="22" fillId="0" borderId="96" xfId="0" applyNumberFormat="1" applyFont="1" applyFill="1" applyBorder="1">
      <alignment vertical="center"/>
    </xf>
    <xf numFmtId="176" fontId="22" fillId="0" borderId="163" xfId="0" applyNumberFormat="1" applyFont="1" applyFill="1" applyBorder="1">
      <alignment vertical="center"/>
    </xf>
    <xf numFmtId="176" fontId="22" fillId="0" borderId="81" xfId="0" applyNumberFormat="1" applyFont="1" applyFill="1" applyBorder="1">
      <alignment vertical="center"/>
    </xf>
    <xf numFmtId="177" fontId="9" fillId="0" borderId="80" xfId="2" applyNumberFormat="1" applyFont="1" applyFill="1" applyBorder="1">
      <alignment vertical="center"/>
    </xf>
    <xf numFmtId="177" fontId="9" fillId="0" borderId="73" xfId="2" applyNumberFormat="1" applyFont="1" applyFill="1" applyBorder="1">
      <alignment vertical="center"/>
    </xf>
    <xf numFmtId="176" fontId="9" fillId="0" borderId="104" xfId="0" applyNumberFormat="1" applyFont="1" applyFill="1" applyBorder="1">
      <alignment vertical="center"/>
    </xf>
    <xf numFmtId="176" fontId="9" fillId="0" borderId="161" xfId="0" applyNumberFormat="1" applyFont="1" applyFill="1" applyBorder="1">
      <alignment vertical="center"/>
    </xf>
    <xf numFmtId="176" fontId="9" fillId="0" borderId="75" xfId="0" applyNumberFormat="1" applyFont="1" applyFill="1" applyBorder="1">
      <alignment vertical="center"/>
    </xf>
    <xf numFmtId="0" fontId="9" fillId="0" borderId="76" xfId="0" applyFont="1" applyFill="1" applyBorder="1">
      <alignment vertical="center"/>
    </xf>
    <xf numFmtId="176" fontId="9" fillId="0" borderId="77" xfId="0" applyNumberFormat="1" applyFont="1" applyFill="1" applyBorder="1">
      <alignment vertical="center"/>
    </xf>
    <xf numFmtId="183" fontId="9" fillId="0" borderId="80" xfId="0" applyNumberFormat="1" applyFont="1" applyFill="1" applyBorder="1">
      <alignment vertical="center"/>
    </xf>
    <xf numFmtId="183" fontId="9" fillId="0" borderId="79" xfId="0" applyNumberFormat="1" applyFont="1" applyFill="1" applyBorder="1">
      <alignment vertical="center"/>
    </xf>
    <xf numFmtId="183" fontId="22" fillId="0" borderId="80" xfId="0" applyNumberFormat="1" applyFont="1" applyFill="1" applyBorder="1">
      <alignment vertical="center"/>
    </xf>
    <xf numFmtId="0" fontId="27" fillId="0" borderId="79" xfId="0" applyFont="1" applyFill="1" applyBorder="1" applyAlignment="1">
      <alignment horizontal="left" vertical="center"/>
    </xf>
    <xf numFmtId="176" fontId="22" fillId="0" borderId="80" xfId="0" applyNumberFormat="1" applyFont="1" applyFill="1" applyBorder="1">
      <alignment vertical="center"/>
    </xf>
    <xf numFmtId="0" fontId="27" fillId="0" borderId="79" xfId="0" applyFont="1" applyFill="1" applyBorder="1" applyAlignment="1">
      <alignment horizontal="left" vertical="center" wrapText="1"/>
    </xf>
    <xf numFmtId="0" fontId="22" fillId="0" borderId="79" xfId="0" applyFont="1" applyFill="1" applyBorder="1">
      <alignment vertical="center"/>
    </xf>
    <xf numFmtId="0" fontId="9" fillId="0" borderId="79" xfId="0" applyFont="1" applyFill="1" applyBorder="1">
      <alignment vertical="center"/>
    </xf>
    <xf numFmtId="43" fontId="9" fillId="0" borderId="82" xfId="0" applyNumberFormat="1" applyFont="1" applyFill="1" applyBorder="1">
      <alignment vertical="center"/>
    </xf>
    <xf numFmtId="0" fontId="23" fillId="19" borderId="157" xfId="0" applyFont="1" applyFill="1" applyBorder="1" applyAlignment="1">
      <alignment horizontal="center" vertical="center"/>
    </xf>
    <xf numFmtId="0" fontId="23" fillId="19" borderId="164" xfId="0" applyFont="1" applyFill="1" applyBorder="1" applyAlignment="1">
      <alignment horizontal="center" vertical="center"/>
    </xf>
    <xf numFmtId="0" fontId="23" fillId="19" borderId="165" xfId="0" applyFont="1" applyFill="1" applyBorder="1" applyAlignment="1">
      <alignment horizontal="center" vertical="center"/>
    </xf>
    <xf numFmtId="0" fontId="23" fillId="19" borderId="166" xfId="0" applyFont="1" applyFill="1" applyBorder="1" applyAlignment="1">
      <alignment horizontal="center" vertical="center"/>
    </xf>
    <xf numFmtId="9" fontId="26" fillId="12" borderId="0" xfId="0" applyNumberFormat="1" applyFont="1" applyFill="1">
      <alignment vertical="center"/>
    </xf>
    <xf numFmtId="180" fontId="23" fillId="19" borderId="167" xfId="0" applyNumberFormat="1" applyFont="1" applyFill="1" applyBorder="1" applyAlignment="1">
      <alignment horizontal="center" vertical="center"/>
    </xf>
    <xf numFmtId="43" fontId="2" fillId="12" borderId="110" xfId="0" applyNumberFormat="1" applyFont="1" applyFill="1" applyBorder="1">
      <alignment vertical="center"/>
    </xf>
    <xf numFmtId="43" fontId="22" fillId="12" borderId="168" xfId="0" applyNumberFormat="1" applyFont="1" applyFill="1" applyBorder="1" applyAlignment="1">
      <alignment vertical="center" wrapText="1"/>
    </xf>
    <xf numFmtId="183" fontId="2" fillId="12" borderId="102" xfId="0" applyNumberFormat="1" applyFont="1" applyFill="1" applyBorder="1">
      <alignment vertical="center"/>
    </xf>
    <xf numFmtId="183" fontId="2" fillId="12" borderId="92" xfId="0" applyNumberFormat="1" applyFont="1" applyFill="1" applyBorder="1">
      <alignment vertical="center"/>
    </xf>
    <xf numFmtId="183" fontId="23" fillId="12" borderId="95" xfId="0" applyNumberFormat="1" applyFont="1" applyFill="1" applyBorder="1">
      <alignment vertical="center"/>
    </xf>
    <xf numFmtId="183" fontId="22" fillId="12" borderId="95" xfId="0" applyNumberFormat="1" applyFont="1" applyFill="1" applyBorder="1">
      <alignment vertical="center"/>
    </xf>
    <xf numFmtId="183" fontId="68" fillId="12" borderId="95" xfId="0" applyNumberFormat="1" applyFont="1" applyFill="1" applyBorder="1" applyAlignment="1">
      <alignment vertical="center" wrapText="1"/>
    </xf>
    <xf numFmtId="183" fontId="9" fillId="12" borderId="95" xfId="0" applyNumberFormat="1" applyFont="1" applyFill="1" applyBorder="1">
      <alignment vertical="center"/>
    </xf>
    <xf numFmtId="183" fontId="22" fillId="12" borderId="92" xfId="0" applyNumberFormat="1" applyFont="1" applyFill="1" applyBorder="1">
      <alignment vertical="center"/>
    </xf>
    <xf numFmtId="183" fontId="22" fillId="0" borderId="92" xfId="0" applyNumberFormat="1" applyFont="1" applyFill="1" applyBorder="1">
      <alignment vertical="center"/>
    </xf>
    <xf numFmtId="43" fontId="9" fillId="0" borderId="95" xfId="0" applyNumberFormat="1" applyFont="1" applyFill="1" applyBorder="1">
      <alignment vertical="center"/>
    </xf>
    <xf numFmtId="43" fontId="22" fillId="0" borderId="95" xfId="0" applyNumberFormat="1" applyFont="1" applyFill="1" applyBorder="1">
      <alignment vertical="center"/>
    </xf>
    <xf numFmtId="176" fontId="9" fillId="0" borderId="85" xfId="0" applyNumberFormat="1" applyFont="1" applyFill="1" applyBorder="1">
      <alignment vertical="center"/>
    </xf>
    <xf numFmtId="180" fontId="23" fillId="19" borderId="153" xfId="0" applyNumberFormat="1" applyFont="1" applyFill="1" applyBorder="1" applyAlignment="1">
      <alignment horizontal="center" vertical="center"/>
    </xf>
    <xf numFmtId="43" fontId="27" fillId="12" borderId="102" xfId="0" applyNumberFormat="1" applyFont="1" applyFill="1" applyBorder="1" applyAlignment="1">
      <alignment vertical="center" wrapText="1"/>
    </xf>
    <xf numFmtId="43" fontId="22" fillId="12" borderId="169" xfId="0" applyNumberFormat="1" applyFont="1" applyFill="1" applyBorder="1" applyAlignment="1">
      <alignment horizontal="left" vertical="center" wrapText="1"/>
    </xf>
    <xf numFmtId="43" fontId="22" fillId="12" borderId="0" xfId="0" applyNumberFormat="1" applyFont="1" applyFill="1" applyBorder="1" applyAlignment="1">
      <alignment horizontal="left" vertical="center" wrapText="1"/>
    </xf>
    <xf numFmtId="43" fontId="22" fillId="12" borderId="110" xfId="0" applyNumberFormat="1" applyFont="1" applyFill="1" applyBorder="1" applyAlignment="1">
      <alignment horizontal="left" vertical="center" wrapText="1"/>
    </xf>
    <xf numFmtId="43" fontId="22" fillId="12" borderId="110" xfId="0" applyNumberFormat="1" applyFont="1" applyFill="1" applyBorder="1" applyAlignment="1">
      <alignment horizontal="left" vertical="center" wrapText="1"/>
    </xf>
    <xf numFmtId="43" fontId="29" fillId="12" borderId="102" xfId="0" applyNumberFormat="1" applyFont="1" applyFill="1" applyBorder="1" applyAlignment="1">
      <alignment vertical="center" wrapText="1"/>
    </xf>
    <xf numFmtId="43" fontId="2" fillId="12" borderId="83" xfId="0" applyNumberFormat="1" applyFont="1" applyFill="1" applyBorder="1">
      <alignment vertical="center"/>
    </xf>
    <xf numFmtId="43" fontId="22" fillId="12" borderId="170" xfId="0" applyNumberFormat="1" applyFont="1" applyFill="1" applyBorder="1" applyAlignment="1">
      <alignment vertical="center" wrapText="1"/>
    </xf>
    <xf numFmtId="43" fontId="22" fillId="12" borderId="171" xfId="0" applyNumberFormat="1" applyFont="1" applyFill="1" applyBorder="1" applyAlignment="1">
      <alignment vertical="center" wrapText="1"/>
    </xf>
    <xf numFmtId="183" fontId="2" fillId="12" borderId="85" xfId="0" applyNumberFormat="1" applyFont="1" applyFill="1" applyBorder="1">
      <alignment vertical="center"/>
    </xf>
    <xf numFmtId="0" fontId="9" fillId="12" borderId="87" xfId="0" applyFont="1" applyFill="1" applyBorder="1" applyAlignment="1">
      <alignment horizontal="center" vertical="center"/>
    </xf>
    <xf numFmtId="0" fontId="9" fillId="12" borderId="88" xfId="0" applyFont="1" applyFill="1" applyBorder="1">
      <alignment vertical="center"/>
    </xf>
    <xf numFmtId="43" fontId="9" fillId="12" borderId="173" xfId="0" applyNumberFormat="1" applyFont="1" applyFill="1" applyBorder="1" applyAlignment="1">
      <alignment horizontal="center" vertical="center"/>
    </xf>
    <xf numFmtId="177" fontId="9" fillId="12" borderId="88" xfId="2" applyNumberFormat="1" applyFont="1" applyFill="1" applyBorder="1">
      <alignment vertical="center"/>
    </xf>
    <xf numFmtId="0" fontId="36" fillId="12" borderId="173" xfId="0" applyFont="1" applyFill="1" applyBorder="1">
      <alignment vertical="center"/>
    </xf>
    <xf numFmtId="176" fontId="9" fillId="12" borderId="169" xfId="0" applyNumberFormat="1" applyFont="1" applyFill="1" applyBorder="1">
      <alignment vertical="center"/>
    </xf>
    <xf numFmtId="43" fontId="9" fillId="12" borderId="98" xfId="0" applyNumberFormat="1" applyFont="1" applyFill="1" applyBorder="1">
      <alignment vertical="center"/>
    </xf>
    <xf numFmtId="183" fontId="2" fillId="12" borderId="169" xfId="0" applyNumberFormat="1" applyFont="1" applyFill="1" applyBorder="1">
      <alignment vertical="center"/>
    </xf>
    <xf numFmtId="0" fontId="68" fillId="12" borderId="16" xfId="0" applyFont="1" applyFill="1" applyBorder="1" applyAlignment="1">
      <alignment horizontal="left" vertical="center"/>
    </xf>
    <xf numFmtId="0" fontId="68" fillId="12" borderId="17" xfId="0" applyFont="1" applyFill="1" applyBorder="1" applyAlignment="1">
      <alignment horizontal="left" vertical="center"/>
    </xf>
    <xf numFmtId="0" fontId="68" fillId="12" borderId="32" xfId="0" applyFont="1" applyFill="1" applyBorder="1" applyAlignment="1">
      <alignment horizontal="left" vertical="center"/>
    </xf>
    <xf numFmtId="0" fontId="22" fillId="12" borderId="154" xfId="0" applyFont="1" applyFill="1" applyBorder="1">
      <alignment vertical="center"/>
    </xf>
    <xf numFmtId="9" fontId="70" fillId="12" borderId="165" xfId="2" applyFont="1" applyFill="1" applyBorder="1" applyAlignment="1">
      <alignment horizontal="center" vertical="center"/>
    </xf>
    <xf numFmtId="9" fontId="70" fillId="12" borderId="172" xfId="2" applyFont="1" applyFill="1" applyBorder="1" applyAlignment="1">
      <alignment horizontal="center" vertical="center"/>
    </xf>
    <xf numFmtId="9" fontId="71" fillId="12" borderId="165" xfId="2" applyFont="1" applyFill="1" applyBorder="1" applyAlignment="1">
      <alignment horizontal="center" vertical="center"/>
    </xf>
    <xf numFmtId="9" fontId="71" fillId="12" borderId="172" xfId="2" applyFont="1" applyFill="1" applyBorder="1" applyAlignment="1">
      <alignment horizontal="center" vertical="center"/>
    </xf>
    <xf numFmtId="9" fontId="70" fillId="12" borderId="166" xfId="2" applyFont="1" applyFill="1" applyBorder="1" applyAlignment="1">
      <alignment horizontal="center" vertical="center"/>
    </xf>
  </cellXfs>
  <cellStyles count="4">
    <cellStyle name="百分比" xfId="2" builtinId="5"/>
    <cellStyle name="常规" xfId="0" builtinId="0"/>
    <cellStyle name="超链接" xfId="3" builtinId="8"/>
    <cellStyle name="千位分隔" xfId="1" builtinId="3"/>
  </cellStyles>
  <dxfs count="0"/>
  <tableStyles count="0" defaultTableStyle="TableStyleMedium2" defaultPivotStyle="PivotStyleLight16"/>
  <colors>
    <mruColors>
      <color rgb="FF4874CB"/>
      <color rgb="FF000000"/>
      <color rgb="FFFF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externalLink" Target="externalLinks/externalLink2.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4" Type="http://schemas.openxmlformats.org/officeDocument/2006/relationships/image" Target="../media/image1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 Id="rId4"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xdr:from>
      <xdr:col>4</xdr:col>
      <xdr:colOff>735965</xdr:colOff>
      <xdr:row>2</xdr:row>
      <xdr:rowOff>650240</xdr:rowOff>
    </xdr:from>
    <xdr:to>
      <xdr:col>5</xdr:col>
      <xdr:colOff>338455</xdr:colOff>
      <xdr:row>3</xdr:row>
      <xdr:rowOff>89535</xdr:rowOff>
    </xdr:to>
    <xdr:sp macro="" textlink="">
      <xdr:nvSpPr>
        <xdr:cNvPr id="36" name="文本框 35">
          <a:extLst>
            <a:ext uri="{FF2B5EF4-FFF2-40B4-BE49-F238E27FC236}">
              <a16:creationId xmlns:a16="http://schemas.microsoft.com/office/drawing/2014/main" id="{00000000-0008-0000-0000-000024000000}"/>
            </a:ext>
          </a:extLst>
        </xdr:cNvPr>
        <xdr:cNvSpPr txBox="1"/>
      </xdr:nvSpPr>
      <xdr:spPr>
        <a:xfrm>
          <a:off x="3082925" y="1247140"/>
          <a:ext cx="532130" cy="296545"/>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49%</a:t>
          </a:r>
        </a:p>
      </xdr:txBody>
    </xdr:sp>
    <xdr:clientData/>
  </xdr:twoCellAnchor>
  <xdr:twoCellAnchor>
    <xdr:from>
      <xdr:col>8</xdr:col>
      <xdr:colOff>88265</xdr:colOff>
      <xdr:row>1</xdr:row>
      <xdr:rowOff>69215</xdr:rowOff>
    </xdr:from>
    <xdr:to>
      <xdr:col>10</xdr:col>
      <xdr:colOff>863600</xdr:colOff>
      <xdr:row>7</xdr:row>
      <xdr:rowOff>53975</xdr:rowOff>
    </xdr:to>
    <xdr:grpSp>
      <xdr:nvGrpSpPr>
        <xdr:cNvPr id="38" name="组合 37">
          <a:extLst>
            <a:ext uri="{FF2B5EF4-FFF2-40B4-BE49-F238E27FC236}">
              <a16:creationId xmlns:a16="http://schemas.microsoft.com/office/drawing/2014/main" id="{00000000-0008-0000-0000-000026000000}"/>
            </a:ext>
          </a:extLst>
        </xdr:cNvPr>
        <xdr:cNvGrpSpPr/>
      </xdr:nvGrpSpPr>
      <xdr:grpSpPr>
        <a:xfrm>
          <a:off x="5132493" y="270933"/>
          <a:ext cx="2099945" cy="0"/>
          <a:chOff x="8289" y="5783"/>
          <a:chExt cx="5708" cy="2807"/>
        </a:xfrm>
      </xdr:grpSpPr>
      <xdr:sp macro="" textlink="">
        <xdr:nvSpPr>
          <xdr:cNvPr id="39" name="圆角矩形 5">
            <a:extLst>
              <a:ext uri="{FF2B5EF4-FFF2-40B4-BE49-F238E27FC236}">
                <a16:creationId xmlns:a16="http://schemas.microsoft.com/office/drawing/2014/main" id="{00000000-0008-0000-0000-000027000000}"/>
              </a:ext>
            </a:extLst>
          </xdr:cNvPr>
          <xdr:cNvSpPr/>
        </xdr:nvSpPr>
        <xdr:spPr>
          <a:xfrm>
            <a:off x="9639" y="6436"/>
            <a:ext cx="4358" cy="602"/>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张永明</a:t>
            </a:r>
            <a:endParaRPr lang="en-US" altLang="zh-CN" sz="600" b="1" dirty="0">
              <a:solidFill>
                <a:schemeClr val="tx1"/>
              </a:solidFill>
              <a:latin typeface="微软雅黑" panose="020B0503020204020204" charset="-122"/>
              <a:ea typeface="微软雅黑" panose="020B0503020204020204" charset="-122"/>
            </a:endParaRPr>
          </a:p>
          <a:p>
            <a:pPr algn="ctr"/>
            <a:r>
              <a:rPr lang="zh-CN" altLang="en-US" sz="600" b="1" dirty="0">
                <a:solidFill>
                  <a:schemeClr val="tx1"/>
                </a:solidFill>
                <a:latin typeface="微软雅黑" panose="020B0503020204020204" charset="-122"/>
                <a:ea typeface="微软雅黑" panose="020B0503020204020204" charset="-122"/>
              </a:rPr>
              <a:t>张志华</a:t>
            </a:r>
          </a:p>
          <a:p>
            <a:pPr algn="ctr"/>
            <a:r>
              <a:rPr lang="zh-CN" altLang="en-US" sz="600" b="1" dirty="0">
                <a:solidFill>
                  <a:schemeClr val="tx1"/>
                </a:solidFill>
                <a:latin typeface="微软雅黑" panose="020B0503020204020204" charset="-122"/>
                <a:ea typeface="微软雅黑" panose="020B0503020204020204" charset="-122"/>
              </a:rPr>
              <a:t>张实明</a:t>
            </a:r>
          </a:p>
        </xdr:txBody>
      </xdr:sp>
      <xdr:sp macro="" textlink="">
        <xdr:nvSpPr>
          <xdr:cNvPr id="40" name="圆角矩形 6">
            <a:extLst>
              <a:ext uri="{FF2B5EF4-FFF2-40B4-BE49-F238E27FC236}">
                <a16:creationId xmlns:a16="http://schemas.microsoft.com/office/drawing/2014/main" id="{00000000-0008-0000-0000-000028000000}"/>
              </a:ext>
            </a:extLst>
          </xdr:cNvPr>
          <xdr:cNvSpPr/>
        </xdr:nvSpPr>
        <xdr:spPr>
          <a:xfrm>
            <a:off x="9639" y="7988"/>
            <a:ext cx="4358" cy="602"/>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广东永华控股集团有限公司</a:t>
            </a:r>
            <a:endParaRPr lang="en-US" altLang="zh-CN" sz="600" b="1" dirty="0">
              <a:solidFill>
                <a:schemeClr val="tx1"/>
              </a:solidFill>
              <a:latin typeface="微软雅黑" panose="020B0503020204020204" charset="-122"/>
              <a:ea typeface="微软雅黑" panose="020B0503020204020204" charset="-122"/>
            </a:endParaRPr>
          </a:p>
          <a:p>
            <a:pPr algn="ctr"/>
            <a:r>
              <a:rPr lang="zh-CN" altLang="en-US" sz="600" dirty="0">
                <a:solidFill>
                  <a:schemeClr val="tx1"/>
                </a:solidFill>
                <a:latin typeface="微软雅黑" panose="020B0503020204020204" charset="-122"/>
                <a:ea typeface="微软雅黑" panose="020B0503020204020204" charset="-122"/>
              </a:rPr>
              <a:t>（永华工业园）</a:t>
            </a:r>
          </a:p>
        </xdr:txBody>
      </xdr:sp>
      <xdr:sp macro="" textlink="">
        <xdr:nvSpPr>
          <xdr:cNvPr id="41" name="文本框 40">
            <a:extLst>
              <a:ext uri="{FF2B5EF4-FFF2-40B4-BE49-F238E27FC236}">
                <a16:creationId xmlns:a16="http://schemas.microsoft.com/office/drawing/2014/main" id="{00000000-0008-0000-0000-000029000000}"/>
              </a:ext>
            </a:extLst>
          </xdr:cNvPr>
          <xdr:cNvSpPr txBox="1"/>
        </xdr:nvSpPr>
        <xdr:spPr>
          <a:xfrm>
            <a:off x="10910" y="7322"/>
            <a:ext cx="1495" cy="426"/>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100%</a:t>
            </a:r>
          </a:p>
        </xdr:txBody>
      </xdr:sp>
      <xdr:cxnSp macro="">
        <xdr:nvCxnSpPr>
          <xdr:cNvPr id="42" name="直接连接符 41">
            <a:extLst>
              <a:ext uri="{FF2B5EF4-FFF2-40B4-BE49-F238E27FC236}">
                <a16:creationId xmlns:a16="http://schemas.microsoft.com/office/drawing/2014/main" id="{00000000-0008-0000-0000-00002A000000}"/>
              </a:ext>
            </a:extLst>
          </xdr:cNvPr>
          <xdr:cNvCxnSpPr>
            <a:stCxn id="39" idx="2"/>
            <a:endCxn id="40" idx="0"/>
          </xdr:cNvCxnSpPr>
        </xdr:nvCxnSpPr>
        <xdr:spPr>
          <a:xfrm>
            <a:off x="11819" y="7038"/>
            <a:ext cx="0" cy="950"/>
          </a:xfrm>
          <a:prstGeom prst="line">
            <a:avLst/>
          </a:prstGeom>
        </xdr:spPr>
        <xdr:style>
          <a:lnRef idx="1">
            <a:schemeClr val="accent1"/>
          </a:lnRef>
          <a:fillRef idx="0">
            <a:schemeClr val="accent1"/>
          </a:fillRef>
          <a:effectRef idx="0">
            <a:schemeClr val="accent1"/>
          </a:effectRef>
          <a:fontRef idx="minor">
            <a:schemeClr val="tx1"/>
          </a:fontRef>
        </xdr:style>
      </xdr:cxnSp>
      <xdr:sp macro="" textlink="">
        <xdr:nvSpPr>
          <xdr:cNvPr id="43" name="文本框 42">
            <a:extLst>
              <a:ext uri="{FF2B5EF4-FFF2-40B4-BE49-F238E27FC236}">
                <a16:creationId xmlns:a16="http://schemas.microsoft.com/office/drawing/2014/main" id="{00000000-0008-0000-0000-00002B000000}"/>
              </a:ext>
            </a:extLst>
          </xdr:cNvPr>
          <xdr:cNvSpPr txBox="1"/>
        </xdr:nvSpPr>
        <xdr:spPr>
          <a:xfrm>
            <a:off x="8289" y="5783"/>
            <a:ext cx="4385" cy="341"/>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800" b="1" dirty="0">
                <a:solidFill>
                  <a:srgbClr val="C00000"/>
                </a:solidFill>
                <a:latin typeface="微软雅黑" panose="020B0503020204020204" charset="-122"/>
                <a:ea typeface="微软雅黑" panose="020B0503020204020204" charset="-122"/>
              </a:rPr>
              <a:t>现状：我司已退出</a:t>
            </a:r>
          </a:p>
        </xdr:txBody>
      </xdr:sp>
    </xdr:grpSp>
    <xdr:clientData/>
  </xdr:twoCellAnchor>
  <xdr:twoCellAnchor editAs="oneCell">
    <xdr:from>
      <xdr:col>1</xdr:col>
      <xdr:colOff>6350</xdr:colOff>
      <xdr:row>24</xdr:row>
      <xdr:rowOff>190500</xdr:rowOff>
    </xdr:from>
    <xdr:to>
      <xdr:col>11</xdr:col>
      <xdr:colOff>109855</xdr:colOff>
      <xdr:row>30</xdr:row>
      <xdr:rowOff>33972</xdr:rowOff>
    </xdr:to>
    <xdr:pic>
      <xdr:nvPicPr>
        <xdr:cNvPr id="2" name="图片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356870" y="8335645"/>
          <a:ext cx="7415530" cy="1160145"/>
        </a:xfrm>
        <a:prstGeom prst="rect">
          <a:avLst/>
        </a:prstGeom>
        <a:noFill/>
        <a:ln w="9525">
          <a:noFill/>
        </a:ln>
      </xdr:spPr>
    </xdr:pic>
    <xdr:clientData/>
  </xdr:twoCellAnchor>
  <xdr:twoCellAnchor editAs="oneCell">
    <xdr:from>
      <xdr:col>24</xdr:col>
      <xdr:colOff>6350</xdr:colOff>
      <xdr:row>27</xdr:row>
      <xdr:rowOff>38100</xdr:rowOff>
    </xdr:from>
    <xdr:to>
      <xdr:col>33</xdr:col>
      <xdr:colOff>80010</xdr:colOff>
      <xdr:row>31</xdr:row>
      <xdr:rowOff>72919</xdr:rowOff>
    </xdr:to>
    <xdr:pic>
      <xdr:nvPicPr>
        <xdr:cNvPr id="4" name="图片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16374110" y="9769475"/>
          <a:ext cx="6904990" cy="1058545"/>
        </a:xfrm>
        <a:prstGeom prst="rect">
          <a:avLst/>
        </a:prstGeom>
        <a:noFill/>
        <a:ln w="9525">
          <a:noFill/>
        </a:ln>
      </xdr:spPr>
    </xdr:pic>
    <xdr:clientData/>
  </xdr:twoCellAnchor>
  <xdr:twoCellAnchor>
    <xdr:from>
      <xdr:col>14</xdr:col>
      <xdr:colOff>413631</xdr:colOff>
      <xdr:row>4</xdr:row>
      <xdr:rowOff>19929</xdr:rowOff>
    </xdr:from>
    <xdr:to>
      <xdr:col>15</xdr:col>
      <xdr:colOff>438425</xdr:colOff>
      <xdr:row>6</xdr:row>
      <xdr:rowOff>59937</xdr:rowOff>
    </xdr:to>
    <xdr:cxnSp macro="">
      <xdr:nvCxnSpPr>
        <xdr:cNvPr id="19" name="肘形连接符 18">
          <a:extLst>
            <a:ext uri="{FF2B5EF4-FFF2-40B4-BE49-F238E27FC236}">
              <a16:creationId xmlns:a16="http://schemas.microsoft.com/office/drawing/2014/main" id="{00000000-0008-0000-0000-000013000000}"/>
            </a:ext>
          </a:extLst>
        </xdr:cNvPr>
        <xdr:cNvCxnSpPr>
          <a:stCxn id="5" idx="2"/>
          <a:endCxn id="18" idx="0"/>
        </xdr:cNvCxnSpPr>
      </xdr:nvCxnSpPr>
      <xdr:spPr>
        <a:xfrm rot="16200000" flipH="1">
          <a:off x="9565005" y="1410970"/>
          <a:ext cx="415290" cy="959485"/>
        </a:xfrm>
        <a:prstGeom prst="bentConnector3">
          <a:avLst>
            <a:gd name="adj1" fmla="val 50000"/>
          </a:avLst>
        </a:prstGeom>
        <a:ln w="12700" cap="flat" cmpd="sng" algn="ctr">
          <a:solidFill>
            <a:schemeClr val="accent1"/>
          </a:solidFill>
          <a:prstDash val="dash"/>
          <a:miter lim="800000"/>
        </a:ln>
      </xdr:spPr>
      <xdr:style>
        <a:lnRef idx="0">
          <a:schemeClr val="accent1"/>
        </a:lnRef>
        <a:fillRef idx="0">
          <a:srgbClr val="FFFFFF"/>
        </a:fillRef>
        <a:effectRef idx="0">
          <a:srgbClr val="FFFFFF"/>
        </a:effectRef>
        <a:fontRef idx="minor">
          <a:schemeClr val="tx1"/>
        </a:fontRef>
      </xdr:style>
    </xdr:cxnSp>
    <xdr:clientData/>
  </xdr:twoCellAnchor>
  <xdr:twoCellAnchor>
    <xdr:from>
      <xdr:col>15</xdr:col>
      <xdr:colOff>438425</xdr:colOff>
      <xdr:row>4</xdr:row>
      <xdr:rowOff>22995</xdr:rowOff>
    </xdr:from>
    <xdr:to>
      <xdr:col>17</xdr:col>
      <xdr:colOff>394004</xdr:colOff>
      <xdr:row>6</xdr:row>
      <xdr:rowOff>59937</xdr:rowOff>
    </xdr:to>
    <xdr:cxnSp macro="">
      <xdr:nvCxnSpPr>
        <xdr:cNvPr id="21" name="肘形连接符 20">
          <a:extLst>
            <a:ext uri="{FF2B5EF4-FFF2-40B4-BE49-F238E27FC236}">
              <a16:creationId xmlns:a16="http://schemas.microsoft.com/office/drawing/2014/main" id="{00000000-0008-0000-0000-000015000000}"/>
            </a:ext>
          </a:extLst>
        </xdr:cNvPr>
        <xdr:cNvCxnSpPr>
          <a:stCxn id="11" idx="2"/>
          <a:endCxn id="18" idx="0"/>
        </xdr:cNvCxnSpPr>
      </xdr:nvCxnSpPr>
      <xdr:spPr>
        <a:xfrm rot="5400000">
          <a:off x="10646410" y="1292225"/>
          <a:ext cx="412750" cy="1200150"/>
        </a:xfrm>
        <a:prstGeom prst="bentConnector3">
          <a:avLst>
            <a:gd name="adj1" fmla="val 50000"/>
          </a:avLst>
        </a:prstGeom>
        <a:ln w="12700" cap="flat" cmpd="sng" algn="ctr">
          <a:solidFill>
            <a:schemeClr val="accent1"/>
          </a:solidFill>
          <a:prstDash val="dash"/>
          <a:miter lim="800000"/>
        </a:ln>
      </xdr:spPr>
      <xdr:style>
        <a:lnRef idx="0">
          <a:schemeClr val="accent1"/>
        </a:lnRef>
        <a:fillRef idx="0">
          <a:srgbClr val="FFFFFF"/>
        </a:fillRef>
        <a:effectRef idx="0">
          <a:srgbClr val="FFFFFF"/>
        </a:effectRef>
        <a:fontRef idx="minor">
          <a:schemeClr val="tx1"/>
        </a:fontRef>
      </xdr:style>
    </xdr:cxnSp>
    <xdr:clientData/>
  </xdr:twoCellAnchor>
  <xdr:twoCellAnchor>
    <xdr:from>
      <xdr:col>17</xdr:col>
      <xdr:colOff>445135</xdr:colOff>
      <xdr:row>2</xdr:row>
      <xdr:rowOff>34925</xdr:rowOff>
    </xdr:from>
    <xdr:to>
      <xdr:col>17</xdr:col>
      <xdr:colOff>920115</xdr:colOff>
      <xdr:row>2</xdr:row>
      <xdr:rowOff>225425</xdr:rowOff>
    </xdr:to>
    <xdr:sp macro="" textlink="">
      <xdr:nvSpPr>
        <xdr:cNvPr id="49" name="文本框 48">
          <a:extLst>
            <a:ext uri="{FF2B5EF4-FFF2-40B4-BE49-F238E27FC236}">
              <a16:creationId xmlns:a16="http://schemas.microsoft.com/office/drawing/2014/main" id="{00000000-0008-0000-0000-000031000000}"/>
            </a:ext>
          </a:extLst>
        </xdr:cNvPr>
        <xdr:cNvSpPr txBox="1"/>
      </xdr:nvSpPr>
      <xdr:spPr>
        <a:xfrm>
          <a:off x="11504295" y="631825"/>
          <a:ext cx="474980" cy="190500"/>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sz="600" dirty="0">
              <a:latin typeface="微软雅黑" panose="020B0503020204020204" charset="-122"/>
              <a:ea typeface="微软雅黑" panose="020B0503020204020204" charset="-122"/>
            </a:rPr>
            <a:t>100%</a:t>
          </a:r>
        </a:p>
      </xdr:txBody>
    </xdr:sp>
    <xdr:clientData/>
  </xdr:twoCellAnchor>
  <xdr:twoCellAnchor>
    <xdr:from>
      <xdr:col>17</xdr:col>
      <xdr:colOff>424815</xdr:colOff>
      <xdr:row>2</xdr:row>
      <xdr:rowOff>498475</xdr:rowOff>
    </xdr:from>
    <xdr:to>
      <xdr:col>17</xdr:col>
      <xdr:colOff>875030</xdr:colOff>
      <xdr:row>2</xdr:row>
      <xdr:rowOff>688975</xdr:rowOff>
    </xdr:to>
    <xdr:sp macro="" textlink="">
      <xdr:nvSpPr>
        <xdr:cNvPr id="57" name="文本框 56">
          <a:extLst>
            <a:ext uri="{FF2B5EF4-FFF2-40B4-BE49-F238E27FC236}">
              <a16:creationId xmlns:a16="http://schemas.microsoft.com/office/drawing/2014/main" id="{00000000-0008-0000-0000-000039000000}"/>
            </a:ext>
          </a:extLst>
        </xdr:cNvPr>
        <xdr:cNvSpPr txBox="1"/>
      </xdr:nvSpPr>
      <xdr:spPr>
        <a:xfrm>
          <a:off x="11483975" y="1095375"/>
          <a:ext cx="450215" cy="190500"/>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sz="600" dirty="0">
              <a:latin typeface="微软雅黑" panose="020B0503020204020204" charset="-122"/>
              <a:ea typeface="微软雅黑" panose="020B0503020204020204" charset="-122"/>
            </a:rPr>
            <a:t>100%</a:t>
          </a:r>
          <a:endParaRPr lang="en-US" altLang="en-US" sz="600" dirty="0">
            <a:latin typeface="微软雅黑" panose="020B0503020204020204" charset="-122"/>
            <a:ea typeface="微软雅黑" panose="020B0503020204020204" charset="-122"/>
          </a:endParaRPr>
        </a:p>
      </xdr:txBody>
    </xdr:sp>
    <xdr:clientData/>
  </xdr:twoCellAnchor>
  <xdr:twoCellAnchor editAs="oneCell">
    <xdr:from>
      <xdr:col>23</xdr:col>
      <xdr:colOff>508000</xdr:colOff>
      <xdr:row>41</xdr:row>
      <xdr:rowOff>177800</xdr:rowOff>
    </xdr:from>
    <xdr:to>
      <xdr:col>32</xdr:col>
      <xdr:colOff>453072</xdr:colOff>
      <xdr:row>51</xdr:row>
      <xdr:rowOff>79267</xdr:rowOff>
    </xdr:to>
    <xdr:pic>
      <xdr:nvPicPr>
        <xdr:cNvPr id="88" name="图片 87">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3"/>
        <a:stretch>
          <a:fillRect/>
        </a:stretch>
      </xdr:blipFill>
      <xdr:spPr>
        <a:xfrm>
          <a:off x="16367760" y="13719175"/>
          <a:ext cx="6575425" cy="2400300"/>
        </a:xfrm>
        <a:prstGeom prst="rect">
          <a:avLst/>
        </a:prstGeom>
        <a:noFill/>
        <a:ln w="9525">
          <a:noFill/>
        </a:ln>
      </xdr:spPr>
    </xdr:pic>
    <xdr:clientData/>
  </xdr:twoCellAnchor>
  <xdr:twoCellAnchor>
    <xdr:from>
      <xdr:col>1</xdr:col>
      <xdr:colOff>51435</xdr:colOff>
      <xdr:row>1</xdr:row>
      <xdr:rowOff>43815</xdr:rowOff>
    </xdr:from>
    <xdr:to>
      <xdr:col>6</xdr:col>
      <xdr:colOff>605790</xdr:colOff>
      <xdr:row>7</xdr:row>
      <xdr:rowOff>62865</xdr:rowOff>
    </xdr:to>
    <xdr:grpSp>
      <xdr:nvGrpSpPr>
        <xdr:cNvPr id="78" name="组合 77">
          <a:extLst>
            <a:ext uri="{FF2B5EF4-FFF2-40B4-BE49-F238E27FC236}">
              <a16:creationId xmlns:a16="http://schemas.microsoft.com/office/drawing/2014/main" id="{00000000-0008-0000-0000-00004E000000}"/>
            </a:ext>
          </a:extLst>
        </xdr:cNvPr>
        <xdr:cNvGrpSpPr/>
      </xdr:nvGrpSpPr>
      <xdr:grpSpPr>
        <a:xfrm>
          <a:off x="396663" y="270933"/>
          <a:ext cx="3934460" cy="0"/>
          <a:chOff x="581" y="459"/>
          <a:chExt cx="5713" cy="2960"/>
        </a:xfrm>
      </xdr:grpSpPr>
      <xdr:sp macro="" textlink="">
        <xdr:nvSpPr>
          <xdr:cNvPr id="37" name="文本框 36">
            <a:extLst>
              <a:ext uri="{FF2B5EF4-FFF2-40B4-BE49-F238E27FC236}">
                <a16:creationId xmlns:a16="http://schemas.microsoft.com/office/drawing/2014/main" id="{00000000-0008-0000-0000-000025000000}"/>
              </a:ext>
            </a:extLst>
          </xdr:cNvPr>
          <xdr:cNvSpPr txBox="1"/>
        </xdr:nvSpPr>
        <xdr:spPr>
          <a:xfrm>
            <a:off x="630" y="459"/>
            <a:ext cx="2328" cy="353"/>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800" b="1" dirty="0">
                <a:solidFill>
                  <a:srgbClr val="C00000"/>
                </a:solidFill>
                <a:latin typeface="微软雅黑" panose="020B0503020204020204" charset="-122"/>
                <a:ea typeface="微软雅黑" panose="020B0503020204020204" charset="-122"/>
              </a:rPr>
              <a:t>2021</a:t>
            </a:r>
            <a:r>
              <a:rPr lang="zh-CN" altLang="en-US" sz="800" b="1" dirty="0">
                <a:solidFill>
                  <a:srgbClr val="C00000"/>
                </a:solidFill>
                <a:latin typeface="微软雅黑" panose="020B0503020204020204" charset="-122"/>
                <a:ea typeface="微软雅黑" panose="020B0503020204020204" charset="-122"/>
              </a:rPr>
              <a:t>年</a:t>
            </a:r>
            <a:r>
              <a:rPr lang="en-US" altLang="zh-CN" sz="800" b="1" dirty="0">
                <a:solidFill>
                  <a:srgbClr val="C00000"/>
                </a:solidFill>
                <a:latin typeface="微软雅黑" panose="020B0503020204020204" charset="-122"/>
                <a:ea typeface="微软雅黑" panose="020B0503020204020204" charset="-122"/>
              </a:rPr>
              <a:t>2</a:t>
            </a:r>
            <a:r>
              <a:rPr lang="zh-CN" altLang="en-US" sz="800" b="1" dirty="0">
                <a:solidFill>
                  <a:srgbClr val="C00000"/>
                </a:solidFill>
                <a:latin typeface="微软雅黑" panose="020B0503020204020204" charset="-122"/>
                <a:ea typeface="微软雅黑" panose="020B0503020204020204" charset="-122"/>
              </a:rPr>
              <a:t>月进入时</a:t>
            </a:r>
          </a:p>
        </xdr:txBody>
      </xdr:sp>
      <xdr:sp macro="" textlink="">
        <xdr:nvSpPr>
          <xdr:cNvPr id="30" name="圆角矩形 1">
            <a:extLst>
              <a:ext uri="{FF2B5EF4-FFF2-40B4-BE49-F238E27FC236}">
                <a16:creationId xmlns:a16="http://schemas.microsoft.com/office/drawing/2014/main" id="{00000000-0008-0000-0000-00001E000000}"/>
              </a:ext>
            </a:extLst>
          </xdr:cNvPr>
          <xdr:cNvSpPr/>
        </xdr:nvSpPr>
        <xdr:spPr>
          <a:xfrm>
            <a:off x="581" y="843"/>
            <a:ext cx="2559" cy="976"/>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广州鼎弘投资运营有限公司</a:t>
            </a:r>
            <a:endParaRPr lang="en-US" altLang="zh-CN" sz="600" b="1" dirty="0">
              <a:solidFill>
                <a:schemeClr val="bg1"/>
              </a:solidFill>
              <a:latin typeface="微软雅黑" panose="020B0503020204020204" charset="-122"/>
              <a:ea typeface="微软雅黑" panose="020B0503020204020204" charset="-122"/>
            </a:endParaRPr>
          </a:p>
          <a:p>
            <a:pPr algn="ctr"/>
            <a:r>
              <a:rPr lang="zh-CN" altLang="en-US" sz="600" b="1" dirty="0">
                <a:solidFill>
                  <a:schemeClr val="bg1"/>
                </a:solidFill>
                <a:latin typeface="微软雅黑" panose="020B0503020204020204" charset="-122"/>
                <a:ea typeface="微软雅黑" panose="020B0503020204020204" charset="-122"/>
              </a:rPr>
              <a:t>广州博鸣企业管理合伙企业</a:t>
            </a:r>
            <a:r>
              <a:rPr lang="en-US" altLang="zh-CN" sz="600" b="1" dirty="0">
                <a:solidFill>
                  <a:schemeClr val="bg1"/>
                </a:solidFill>
                <a:latin typeface="微软雅黑" panose="020B0503020204020204" charset="-122"/>
                <a:ea typeface="微软雅黑" panose="020B0503020204020204" charset="-122"/>
              </a:rPr>
              <a:t>Y</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HK754</a:t>
            </a:r>
          </a:p>
        </xdr:txBody>
      </xdr:sp>
      <xdr:sp macro="" textlink="">
        <xdr:nvSpPr>
          <xdr:cNvPr id="31" name="圆角矩形 5">
            <a:extLst>
              <a:ext uri="{FF2B5EF4-FFF2-40B4-BE49-F238E27FC236}">
                <a16:creationId xmlns:a16="http://schemas.microsoft.com/office/drawing/2014/main" id="{00000000-0008-0000-0000-00001F000000}"/>
              </a:ext>
            </a:extLst>
          </xdr:cNvPr>
          <xdr:cNvSpPr/>
        </xdr:nvSpPr>
        <xdr:spPr>
          <a:xfrm>
            <a:off x="3895" y="1195"/>
            <a:ext cx="2399" cy="624"/>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张永明</a:t>
            </a:r>
            <a:endParaRPr lang="en-US" altLang="zh-CN" sz="600" b="1" dirty="0">
              <a:solidFill>
                <a:schemeClr val="tx1"/>
              </a:solidFill>
              <a:latin typeface="微软雅黑" panose="020B0503020204020204" charset="-122"/>
              <a:ea typeface="微软雅黑" panose="020B0503020204020204" charset="-122"/>
            </a:endParaRPr>
          </a:p>
          <a:p>
            <a:pPr algn="ctr"/>
            <a:r>
              <a:rPr lang="zh-CN" altLang="en-US" sz="600" b="1" dirty="0">
                <a:solidFill>
                  <a:schemeClr val="tx1"/>
                </a:solidFill>
                <a:latin typeface="微软雅黑" panose="020B0503020204020204" charset="-122"/>
                <a:ea typeface="微软雅黑" panose="020B0503020204020204" charset="-122"/>
              </a:rPr>
              <a:t>张志华</a:t>
            </a:r>
          </a:p>
          <a:p>
            <a:pPr algn="ctr"/>
            <a:r>
              <a:rPr lang="zh-CN" altLang="en-US" sz="600" b="1" dirty="0">
                <a:solidFill>
                  <a:schemeClr val="tx1"/>
                </a:solidFill>
                <a:latin typeface="微软雅黑" panose="020B0503020204020204" charset="-122"/>
                <a:ea typeface="微软雅黑" panose="020B0503020204020204" charset="-122"/>
              </a:rPr>
              <a:t>张实明</a:t>
            </a:r>
          </a:p>
        </xdr:txBody>
      </xdr:sp>
      <xdr:sp macro="" textlink="">
        <xdr:nvSpPr>
          <xdr:cNvPr id="32" name="圆角矩形 6">
            <a:extLst>
              <a:ext uri="{FF2B5EF4-FFF2-40B4-BE49-F238E27FC236}">
                <a16:creationId xmlns:a16="http://schemas.microsoft.com/office/drawing/2014/main" id="{00000000-0008-0000-0000-000020000000}"/>
              </a:ext>
            </a:extLst>
          </xdr:cNvPr>
          <xdr:cNvSpPr/>
        </xdr:nvSpPr>
        <xdr:spPr>
          <a:xfrm>
            <a:off x="2254" y="2795"/>
            <a:ext cx="2319" cy="624"/>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广东永华控股集团有限公司</a:t>
            </a:r>
            <a:endParaRPr lang="en-US" altLang="zh-CN" sz="600" b="1" dirty="0">
              <a:solidFill>
                <a:schemeClr val="tx1"/>
              </a:solidFill>
              <a:latin typeface="微软雅黑" panose="020B0503020204020204" charset="-122"/>
              <a:ea typeface="微软雅黑" panose="020B0503020204020204" charset="-122"/>
            </a:endParaRPr>
          </a:p>
          <a:p>
            <a:pPr algn="ctr"/>
            <a:r>
              <a:rPr lang="zh-CN" altLang="en-US" sz="600" dirty="0">
                <a:solidFill>
                  <a:schemeClr val="tx1"/>
                </a:solidFill>
                <a:latin typeface="微软雅黑" panose="020B0503020204020204" charset="-122"/>
                <a:ea typeface="微软雅黑" panose="020B0503020204020204" charset="-122"/>
              </a:rPr>
              <a:t>（永华工业园）</a:t>
            </a:r>
          </a:p>
        </xdr:txBody>
      </xdr:sp>
      <xdr:cxnSp macro="">
        <xdr:nvCxnSpPr>
          <xdr:cNvPr id="33" name="连接符: 肘形 77">
            <a:extLst>
              <a:ext uri="{FF2B5EF4-FFF2-40B4-BE49-F238E27FC236}">
                <a16:creationId xmlns:a16="http://schemas.microsoft.com/office/drawing/2014/main" id="{00000000-0008-0000-0000-000021000000}"/>
              </a:ext>
            </a:extLst>
          </xdr:cNvPr>
          <xdr:cNvCxnSpPr>
            <a:stCxn id="30" idx="2"/>
            <a:endCxn id="32" idx="0"/>
          </xdr:cNvCxnSpPr>
        </xdr:nvCxnSpPr>
        <xdr:spPr>
          <a:xfrm rot="16200000" flipH="1">
            <a:off x="2149" y="1531"/>
            <a:ext cx="976" cy="1553"/>
          </a:xfrm>
          <a:prstGeom prst="bentConnector3">
            <a:avLst>
              <a:gd name="adj1" fmla="val 50000"/>
            </a:avLst>
          </a:prstGeom>
        </xdr:spPr>
        <xdr:style>
          <a:lnRef idx="1">
            <a:schemeClr val="accent1"/>
          </a:lnRef>
          <a:fillRef idx="0">
            <a:schemeClr val="accent1"/>
          </a:fillRef>
          <a:effectRef idx="0">
            <a:schemeClr val="accent1"/>
          </a:effectRef>
          <a:fontRef idx="minor">
            <a:schemeClr val="tx1"/>
          </a:fontRef>
        </xdr:style>
      </xdr:cxnSp>
      <xdr:sp macro="" textlink="">
        <xdr:nvSpPr>
          <xdr:cNvPr id="35" name="文本框 34">
            <a:extLst>
              <a:ext uri="{FF2B5EF4-FFF2-40B4-BE49-F238E27FC236}">
                <a16:creationId xmlns:a16="http://schemas.microsoft.com/office/drawing/2014/main" id="{00000000-0008-0000-0000-000023000000}"/>
              </a:ext>
            </a:extLst>
          </xdr:cNvPr>
          <xdr:cNvSpPr txBox="1"/>
        </xdr:nvSpPr>
        <xdr:spPr>
          <a:xfrm>
            <a:off x="1750" y="1943"/>
            <a:ext cx="1762" cy="287"/>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 （实际收益权</a:t>
            </a:r>
            <a:r>
              <a:rPr lang="en-US" altLang="zh-CN" sz="600" dirty="0">
                <a:latin typeface="微软雅黑" panose="020B0503020204020204" charset="-122"/>
                <a:ea typeface="微软雅黑" panose="020B0503020204020204" charset="-122"/>
              </a:rPr>
              <a:t>25%</a:t>
            </a:r>
            <a:r>
              <a:rPr lang="zh-CN" altLang="en-US" sz="600" dirty="0">
                <a:latin typeface="微软雅黑" panose="020B0503020204020204" charset="-122"/>
                <a:ea typeface="微软雅黑" panose="020B0503020204020204" charset="-122"/>
              </a:rPr>
              <a:t>）</a:t>
            </a:r>
          </a:p>
        </xdr:txBody>
      </xdr:sp>
      <xdr:cxnSp macro="">
        <xdr:nvCxnSpPr>
          <xdr:cNvPr id="93" name="肘形连接符 92">
            <a:extLst>
              <a:ext uri="{FF2B5EF4-FFF2-40B4-BE49-F238E27FC236}">
                <a16:creationId xmlns:a16="http://schemas.microsoft.com/office/drawing/2014/main" id="{00000000-0008-0000-0000-00005D000000}"/>
              </a:ext>
            </a:extLst>
          </xdr:cNvPr>
          <xdr:cNvCxnSpPr>
            <a:stCxn id="31" idx="2"/>
            <a:endCxn id="32" idx="0"/>
          </xdr:cNvCxnSpPr>
        </xdr:nvCxnSpPr>
        <xdr:spPr>
          <a:xfrm rot="5400000">
            <a:off x="3761" y="1461"/>
            <a:ext cx="976" cy="1681"/>
          </a:xfrm>
          <a:prstGeom prst="bentConnector3">
            <a:avLst>
              <a:gd name="adj1" fmla="val 49949"/>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editAs="oneCell">
    <xdr:from>
      <xdr:col>0</xdr:col>
      <xdr:colOff>609600</xdr:colOff>
      <xdr:row>30</xdr:row>
      <xdr:rowOff>203200</xdr:rowOff>
    </xdr:from>
    <xdr:to>
      <xdr:col>11</xdr:col>
      <xdr:colOff>76200</xdr:colOff>
      <xdr:row>43</xdr:row>
      <xdr:rowOff>113559</xdr:rowOff>
    </xdr:to>
    <xdr:pic>
      <xdr:nvPicPr>
        <xdr:cNvPr id="95" name="图片 94">
          <a:extLst>
            <a:ext uri="{FF2B5EF4-FFF2-40B4-BE49-F238E27FC236}">
              <a16:creationId xmlns:a16="http://schemas.microsoft.com/office/drawing/2014/main" id="{00000000-0008-0000-0000-00005F000000}"/>
            </a:ext>
          </a:extLst>
        </xdr:cNvPr>
        <xdr:cNvPicPr>
          <a:picLocks noChangeAspect="1"/>
        </xdr:cNvPicPr>
      </xdr:nvPicPr>
      <xdr:blipFill>
        <a:blip xmlns:r="http://schemas.openxmlformats.org/officeDocument/2006/relationships" r:embed="rId4"/>
        <a:stretch>
          <a:fillRect/>
        </a:stretch>
      </xdr:blipFill>
      <xdr:spPr>
        <a:xfrm>
          <a:off x="350520" y="10858500"/>
          <a:ext cx="7401560" cy="2978150"/>
        </a:xfrm>
        <a:prstGeom prst="rect">
          <a:avLst/>
        </a:prstGeom>
        <a:noFill/>
        <a:ln w="9525">
          <a:noFill/>
        </a:ln>
      </xdr:spPr>
    </xdr:pic>
    <xdr:clientData/>
  </xdr:twoCellAnchor>
  <xdr:twoCellAnchor editAs="oneCell">
    <xdr:from>
      <xdr:col>24</xdr:col>
      <xdr:colOff>2540</xdr:colOff>
      <xdr:row>31</xdr:row>
      <xdr:rowOff>146050</xdr:rowOff>
    </xdr:from>
    <xdr:to>
      <xdr:col>32</xdr:col>
      <xdr:colOff>148590</xdr:colOff>
      <xdr:row>43</xdr:row>
      <xdr:rowOff>77787</xdr:rowOff>
    </xdr:to>
    <xdr:pic>
      <xdr:nvPicPr>
        <xdr:cNvPr id="99" name="图片 98">
          <a:extLst>
            <a:ext uri="{FF2B5EF4-FFF2-40B4-BE49-F238E27FC236}">
              <a16:creationId xmlns:a16="http://schemas.microsoft.com/office/drawing/2014/main" id="{00000000-0008-0000-0000-000063000000}"/>
            </a:ext>
          </a:extLst>
        </xdr:cNvPr>
        <xdr:cNvPicPr>
          <a:picLocks noChangeAspect="1"/>
        </xdr:cNvPicPr>
      </xdr:nvPicPr>
      <xdr:blipFill>
        <a:blip xmlns:r="http://schemas.openxmlformats.org/officeDocument/2006/relationships" r:embed="rId5"/>
        <a:stretch>
          <a:fillRect/>
        </a:stretch>
      </xdr:blipFill>
      <xdr:spPr>
        <a:xfrm>
          <a:off x="16370300" y="11020425"/>
          <a:ext cx="6285865" cy="2788920"/>
        </a:xfrm>
        <a:prstGeom prst="rect">
          <a:avLst/>
        </a:prstGeom>
        <a:noFill/>
        <a:ln w="9525">
          <a:noFill/>
        </a:ln>
      </xdr:spPr>
    </xdr:pic>
    <xdr:clientData/>
  </xdr:twoCellAnchor>
  <xdr:twoCellAnchor>
    <xdr:from>
      <xdr:col>24</xdr:col>
      <xdr:colOff>635</xdr:colOff>
      <xdr:row>1</xdr:row>
      <xdr:rowOff>76200</xdr:rowOff>
    </xdr:from>
    <xdr:to>
      <xdr:col>29</xdr:col>
      <xdr:colOff>511175</xdr:colOff>
      <xdr:row>7</xdr:row>
      <xdr:rowOff>28575</xdr:rowOff>
    </xdr:to>
    <xdr:grpSp>
      <xdr:nvGrpSpPr>
        <xdr:cNvPr id="74" name="组合 73">
          <a:extLst>
            <a:ext uri="{FF2B5EF4-FFF2-40B4-BE49-F238E27FC236}">
              <a16:creationId xmlns:a16="http://schemas.microsoft.com/office/drawing/2014/main" id="{00000000-0008-0000-0000-00004A000000}"/>
            </a:ext>
          </a:extLst>
        </xdr:cNvPr>
        <xdr:cNvGrpSpPr/>
      </xdr:nvGrpSpPr>
      <xdr:grpSpPr>
        <a:xfrm>
          <a:off x="16392102" y="270933"/>
          <a:ext cx="3909483" cy="0"/>
          <a:chOff x="24219" y="510"/>
          <a:chExt cx="5425" cy="2855"/>
        </a:xfrm>
      </xdr:grpSpPr>
      <xdr:sp macro="" textlink="">
        <xdr:nvSpPr>
          <xdr:cNvPr id="60" name="文本框 59">
            <a:extLst>
              <a:ext uri="{FF2B5EF4-FFF2-40B4-BE49-F238E27FC236}">
                <a16:creationId xmlns:a16="http://schemas.microsoft.com/office/drawing/2014/main" id="{00000000-0008-0000-0000-00003C000000}"/>
              </a:ext>
            </a:extLst>
          </xdr:cNvPr>
          <xdr:cNvSpPr txBox="1"/>
        </xdr:nvSpPr>
        <xdr:spPr>
          <a:xfrm>
            <a:off x="24219" y="510"/>
            <a:ext cx="2430" cy="353"/>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800" b="1" dirty="0">
                <a:solidFill>
                  <a:srgbClr val="C00000"/>
                </a:solidFill>
                <a:latin typeface="微软雅黑" panose="020B0503020204020204" charset="-122"/>
                <a:ea typeface="微软雅黑" panose="020B0503020204020204" charset="-122"/>
              </a:rPr>
              <a:t>2021</a:t>
            </a:r>
            <a:r>
              <a:rPr lang="zh-CN" altLang="en-US" sz="800" b="1" dirty="0">
                <a:solidFill>
                  <a:srgbClr val="C00000"/>
                </a:solidFill>
                <a:latin typeface="微软雅黑" panose="020B0503020204020204" charset="-122"/>
                <a:ea typeface="微软雅黑" panose="020B0503020204020204" charset="-122"/>
              </a:rPr>
              <a:t>年</a:t>
            </a:r>
            <a:r>
              <a:rPr lang="en-US" altLang="zh-CN" sz="800" b="1" dirty="0">
                <a:solidFill>
                  <a:srgbClr val="C00000"/>
                </a:solidFill>
                <a:latin typeface="微软雅黑" panose="020B0503020204020204" charset="-122"/>
                <a:ea typeface="微软雅黑" panose="020B0503020204020204" charset="-122"/>
              </a:rPr>
              <a:t>1</a:t>
            </a:r>
            <a:r>
              <a:rPr lang="zh-CN" altLang="en-US" sz="800" b="1" dirty="0">
                <a:solidFill>
                  <a:srgbClr val="C00000"/>
                </a:solidFill>
                <a:latin typeface="微软雅黑" panose="020B0503020204020204" charset="-122"/>
                <a:ea typeface="微软雅黑" panose="020B0503020204020204" charset="-122"/>
              </a:rPr>
              <a:t>月进入时</a:t>
            </a:r>
          </a:p>
        </xdr:txBody>
      </xdr:sp>
      <xdr:sp macro="" textlink="">
        <xdr:nvSpPr>
          <xdr:cNvPr id="55" name="圆角矩形 6">
            <a:extLst>
              <a:ext uri="{FF2B5EF4-FFF2-40B4-BE49-F238E27FC236}">
                <a16:creationId xmlns:a16="http://schemas.microsoft.com/office/drawing/2014/main" id="{00000000-0008-0000-0000-000037000000}"/>
              </a:ext>
            </a:extLst>
          </xdr:cNvPr>
          <xdr:cNvSpPr/>
        </xdr:nvSpPr>
        <xdr:spPr>
          <a:xfrm>
            <a:off x="25684" y="2872"/>
            <a:ext cx="2415" cy="493"/>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惠州市俊发置业投资有限公司</a:t>
            </a:r>
            <a:r>
              <a:rPr lang="zh-CN" altLang="en-US" sz="500" dirty="0">
                <a:solidFill>
                  <a:schemeClr val="tx1"/>
                </a:solidFill>
                <a:latin typeface="微软雅黑" panose="020B0503020204020204" charset="-122"/>
                <a:ea typeface="微软雅黑" panose="020B0503020204020204" charset="-122"/>
              </a:rPr>
              <a:t>（金山湖）</a:t>
            </a:r>
          </a:p>
        </xdr:txBody>
      </xdr:sp>
      <xdr:sp macro="" textlink="">
        <xdr:nvSpPr>
          <xdr:cNvPr id="58" name="文本框 57">
            <a:extLst>
              <a:ext uri="{FF2B5EF4-FFF2-40B4-BE49-F238E27FC236}">
                <a16:creationId xmlns:a16="http://schemas.microsoft.com/office/drawing/2014/main" id="{00000000-0008-0000-0000-00003A000000}"/>
              </a:ext>
            </a:extLst>
          </xdr:cNvPr>
          <xdr:cNvSpPr txBox="1"/>
        </xdr:nvSpPr>
        <xdr:spPr>
          <a:xfrm>
            <a:off x="28402" y="2281"/>
            <a:ext cx="1160" cy="457"/>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49%</a:t>
            </a:r>
          </a:p>
          <a:p>
            <a:pPr>
              <a:defRPr/>
            </a:pPr>
            <a:r>
              <a:rPr lang="zh-CN" altLang="en-US" sz="600" dirty="0">
                <a:latin typeface="微软雅黑" panose="020B0503020204020204" charset="-122"/>
                <a:ea typeface="微软雅黑" panose="020B0503020204020204" charset="-122"/>
              </a:rPr>
              <a:t>收益权：</a:t>
            </a:r>
            <a:r>
              <a:rPr lang="en-US" altLang="zh-CN" sz="600" dirty="0">
                <a:latin typeface="微软雅黑" panose="020B0503020204020204" charset="-122"/>
                <a:ea typeface="微软雅黑" panose="020B0503020204020204" charset="-122"/>
              </a:rPr>
              <a:t>80%</a:t>
            </a:r>
          </a:p>
        </xdr:txBody>
      </xdr:sp>
      <xdr:sp macro="" textlink="">
        <xdr:nvSpPr>
          <xdr:cNvPr id="73" name="文本框 72">
            <a:extLst>
              <a:ext uri="{FF2B5EF4-FFF2-40B4-BE49-F238E27FC236}">
                <a16:creationId xmlns:a16="http://schemas.microsoft.com/office/drawing/2014/main" id="{00000000-0008-0000-0000-000049000000}"/>
              </a:ext>
            </a:extLst>
          </xdr:cNvPr>
          <xdr:cNvSpPr txBox="1"/>
        </xdr:nvSpPr>
        <xdr:spPr>
          <a:xfrm>
            <a:off x="24311" y="2389"/>
            <a:ext cx="1791" cy="457"/>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并表</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收益权：</a:t>
            </a:r>
            <a:r>
              <a:rPr lang="en-US" altLang="zh-CN" sz="600" dirty="0">
                <a:latin typeface="微软雅黑" panose="020B0503020204020204" charset="-122"/>
                <a:ea typeface="微软雅黑" panose="020B0503020204020204" charset="-122"/>
              </a:rPr>
              <a:t>20%</a:t>
            </a:r>
            <a:r>
              <a:rPr lang="zh-CN" altLang="en-US" sz="600" dirty="0">
                <a:latin typeface="微软雅黑" panose="020B0503020204020204" charset="-122"/>
                <a:ea typeface="微软雅黑" panose="020B0503020204020204" charset="-122"/>
              </a:rPr>
              <a:t>，</a:t>
            </a:r>
            <a:r>
              <a:rPr lang="en-US" altLang="zh-CN" sz="600" dirty="0">
                <a:latin typeface="微软雅黑" panose="020B0503020204020204" charset="-122"/>
                <a:ea typeface="微软雅黑" panose="020B0503020204020204" charset="-122"/>
              </a:rPr>
              <a:t>31%</a:t>
            </a:r>
            <a:r>
              <a:rPr lang="zh-CN" altLang="en-US" sz="600" dirty="0">
                <a:latin typeface="微软雅黑" panose="020B0503020204020204" charset="-122"/>
                <a:ea typeface="微软雅黑" panose="020B0503020204020204" charset="-122"/>
              </a:rPr>
              <a:t>股权代持</a:t>
            </a:r>
            <a:endParaRPr lang="en-US" altLang="zh-CN" sz="600" dirty="0">
              <a:latin typeface="微软雅黑" panose="020B0503020204020204" charset="-122"/>
              <a:ea typeface="微软雅黑" panose="020B0503020204020204" charset="-122"/>
            </a:endParaRPr>
          </a:p>
        </xdr:txBody>
      </xdr:sp>
      <xdr:cxnSp macro="">
        <xdr:nvCxnSpPr>
          <xdr:cNvPr id="75" name="肘形连接符 74">
            <a:extLst>
              <a:ext uri="{FF2B5EF4-FFF2-40B4-BE49-F238E27FC236}">
                <a16:creationId xmlns:a16="http://schemas.microsoft.com/office/drawing/2014/main" id="{00000000-0008-0000-0000-00004B000000}"/>
              </a:ext>
            </a:extLst>
          </xdr:cNvPr>
          <xdr:cNvCxnSpPr>
            <a:stCxn id="54" idx="2"/>
            <a:endCxn id="55" idx="0"/>
          </xdr:cNvCxnSpPr>
        </xdr:nvCxnSpPr>
        <xdr:spPr>
          <a:xfrm rot="5400000">
            <a:off x="27422" y="1789"/>
            <a:ext cx="554" cy="1612"/>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sp macro="" textlink="">
        <xdr:nvSpPr>
          <xdr:cNvPr id="82" name="圆角矩形 1">
            <a:extLst>
              <a:ext uri="{FF2B5EF4-FFF2-40B4-BE49-F238E27FC236}">
                <a16:creationId xmlns:a16="http://schemas.microsoft.com/office/drawing/2014/main" id="{00000000-0008-0000-0000-000052000000}"/>
              </a:ext>
            </a:extLst>
          </xdr:cNvPr>
          <xdr:cNvSpPr/>
        </xdr:nvSpPr>
        <xdr:spPr>
          <a:xfrm>
            <a:off x="27341" y="1825"/>
            <a:ext cx="2303" cy="493"/>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惠州市合景经济信息咨询有限公司</a:t>
            </a:r>
          </a:p>
        </xdr:txBody>
      </xdr:sp>
      <xdr:sp macro="" textlink="">
        <xdr:nvSpPr>
          <xdr:cNvPr id="83" name="圆角矩形 5">
            <a:extLst>
              <a:ext uri="{FF2B5EF4-FFF2-40B4-BE49-F238E27FC236}">
                <a16:creationId xmlns:a16="http://schemas.microsoft.com/office/drawing/2014/main" id="{00000000-0008-0000-0000-000053000000}"/>
              </a:ext>
            </a:extLst>
          </xdr:cNvPr>
          <xdr:cNvSpPr/>
        </xdr:nvSpPr>
        <xdr:spPr>
          <a:xfrm>
            <a:off x="24276" y="1302"/>
            <a:ext cx="2415" cy="1015"/>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t"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广州博祺企业管理合伙企业</a:t>
            </a: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a:t>
            </a:r>
          </a:p>
        </xdr:txBody>
      </xdr:sp>
      <xdr:sp macro="" textlink="">
        <xdr:nvSpPr>
          <xdr:cNvPr id="84" name="圆角矩形 1">
            <a:extLst>
              <a:ext uri="{FF2B5EF4-FFF2-40B4-BE49-F238E27FC236}">
                <a16:creationId xmlns:a16="http://schemas.microsoft.com/office/drawing/2014/main" id="{00000000-0008-0000-0000-000054000000}"/>
              </a:ext>
            </a:extLst>
          </xdr:cNvPr>
          <xdr:cNvSpPr/>
        </xdr:nvSpPr>
        <xdr:spPr>
          <a:xfrm>
            <a:off x="27336" y="711"/>
            <a:ext cx="2303" cy="493"/>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伟福控股有限公司（香港）</a:t>
            </a:r>
          </a:p>
        </xdr:txBody>
      </xdr:sp>
      <xdr:cxnSp macro="">
        <xdr:nvCxnSpPr>
          <xdr:cNvPr id="48" name="直接连接符 47">
            <a:extLst>
              <a:ext uri="{FF2B5EF4-FFF2-40B4-BE49-F238E27FC236}">
                <a16:creationId xmlns:a16="http://schemas.microsoft.com/office/drawing/2014/main" id="{00000000-0008-0000-0000-000030000000}"/>
              </a:ext>
            </a:extLst>
          </xdr:cNvPr>
          <xdr:cNvCxnSpPr>
            <a:stCxn id="84" idx="2"/>
            <a:endCxn id="82" idx="0"/>
          </xdr:cNvCxnSpPr>
        </xdr:nvCxnSpPr>
        <xdr:spPr>
          <a:xfrm>
            <a:off x="28488" y="1204"/>
            <a:ext cx="5" cy="621"/>
          </a:xfrm>
          <a:prstGeom prst="line">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xdr:from>
      <xdr:col>30</xdr:col>
      <xdr:colOff>212725</xdr:colOff>
      <xdr:row>1</xdr:row>
      <xdr:rowOff>43815</xdr:rowOff>
    </xdr:from>
    <xdr:to>
      <xdr:col>35</xdr:col>
      <xdr:colOff>264160</xdr:colOff>
      <xdr:row>7</xdr:row>
      <xdr:rowOff>38735</xdr:rowOff>
    </xdr:to>
    <xdr:grpSp>
      <xdr:nvGrpSpPr>
        <xdr:cNvPr id="77" name="组合 76">
          <a:extLst>
            <a:ext uri="{FF2B5EF4-FFF2-40B4-BE49-F238E27FC236}">
              <a16:creationId xmlns:a16="http://schemas.microsoft.com/office/drawing/2014/main" id="{00000000-0008-0000-0000-00004D000000}"/>
            </a:ext>
          </a:extLst>
        </xdr:cNvPr>
        <xdr:cNvGrpSpPr/>
      </xdr:nvGrpSpPr>
      <xdr:grpSpPr>
        <a:xfrm>
          <a:off x="20883668" y="270933"/>
          <a:ext cx="4374092" cy="0"/>
          <a:chOff x="29530" y="459"/>
          <a:chExt cx="6165" cy="2922"/>
        </a:xfrm>
      </xdr:grpSpPr>
      <xdr:sp macro="" textlink="">
        <xdr:nvSpPr>
          <xdr:cNvPr id="52" name="文本框 51">
            <a:extLst>
              <a:ext uri="{FF2B5EF4-FFF2-40B4-BE49-F238E27FC236}">
                <a16:creationId xmlns:a16="http://schemas.microsoft.com/office/drawing/2014/main" id="{00000000-0008-0000-0000-000034000000}"/>
              </a:ext>
            </a:extLst>
          </xdr:cNvPr>
          <xdr:cNvSpPr txBox="1"/>
        </xdr:nvSpPr>
        <xdr:spPr>
          <a:xfrm>
            <a:off x="29935" y="459"/>
            <a:ext cx="5760" cy="473"/>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800" b="1" dirty="0">
                <a:solidFill>
                  <a:srgbClr val="C00000"/>
                </a:solidFill>
                <a:latin typeface="微软雅黑" panose="020B0503020204020204" charset="-122"/>
                <a:ea typeface="微软雅黑" panose="020B0503020204020204" charset="-122"/>
              </a:rPr>
              <a:t>现状：股权未退出，实际经营权已退出</a:t>
            </a:r>
          </a:p>
        </xdr:txBody>
      </xdr:sp>
      <xdr:sp macro="" textlink="">
        <xdr:nvSpPr>
          <xdr:cNvPr id="45" name="圆角矩形 1">
            <a:extLst>
              <a:ext uri="{FF2B5EF4-FFF2-40B4-BE49-F238E27FC236}">
                <a16:creationId xmlns:a16="http://schemas.microsoft.com/office/drawing/2014/main" id="{00000000-0008-0000-0000-00002D000000}"/>
              </a:ext>
            </a:extLst>
          </xdr:cNvPr>
          <xdr:cNvSpPr/>
        </xdr:nvSpPr>
        <xdr:spPr>
          <a:xfrm>
            <a:off x="33203" y="1721"/>
            <a:ext cx="2299" cy="52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惠州市合景经济信息咨询有限公司</a:t>
            </a:r>
          </a:p>
        </xdr:txBody>
      </xdr:sp>
      <xdr:sp macro="" textlink="">
        <xdr:nvSpPr>
          <xdr:cNvPr id="76" name="圆角矩形 1">
            <a:extLst>
              <a:ext uri="{FF2B5EF4-FFF2-40B4-BE49-F238E27FC236}">
                <a16:creationId xmlns:a16="http://schemas.microsoft.com/office/drawing/2014/main" id="{00000000-0008-0000-0000-00004C000000}"/>
              </a:ext>
            </a:extLst>
          </xdr:cNvPr>
          <xdr:cNvSpPr/>
        </xdr:nvSpPr>
        <xdr:spPr>
          <a:xfrm>
            <a:off x="33199" y="882"/>
            <a:ext cx="2299" cy="479"/>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伟福控股有限公司（香港）</a:t>
            </a:r>
          </a:p>
        </xdr:txBody>
      </xdr:sp>
      <xdr:sp macro="" textlink="">
        <xdr:nvSpPr>
          <xdr:cNvPr id="46" name="圆角矩形 5">
            <a:extLst>
              <a:ext uri="{FF2B5EF4-FFF2-40B4-BE49-F238E27FC236}">
                <a16:creationId xmlns:a16="http://schemas.microsoft.com/office/drawing/2014/main" id="{00000000-0008-0000-0000-00002E000000}"/>
              </a:ext>
            </a:extLst>
          </xdr:cNvPr>
          <xdr:cNvSpPr/>
        </xdr:nvSpPr>
        <xdr:spPr>
          <a:xfrm>
            <a:off x="29806" y="1749"/>
            <a:ext cx="2299" cy="493"/>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广州博祺企业管理</a:t>
            </a:r>
            <a:r>
              <a:rPr lang="zh-CN" altLang="en-US" sz="600" b="1">
                <a:solidFill>
                  <a:schemeClr val="bg1"/>
                </a:solidFill>
                <a:latin typeface="微软雅黑" panose="020B0503020204020204" charset="-122"/>
                <a:ea typeface="微软雅黑" panose="020B0503020204020204" charset="-122"/>
              </a:rPr>
              <a:t>合伙企业</a:t>
            </a: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a:t>
            </a:r>
            <a:r>
              <a:rPr lang="zh-CN" altLang="en-US" sz="600" b="1">
                <a:solidFill>
                  <a:schemeClr val="bg1"/>
                </a:solidFill>
                <a:latin typeface="微软雅黑" panose="020B0503020204020204" charset="-122"/>
                <a:ea typeface="微软雅黑" panose="020B0503020204020204" charset="-122"/>
              </a:rPr>
              <a:t>合伙</a:t>
            </a:r>
            <a:r>
              <a:rPr lang="en-US" altLang="zh-CN" sz="600" b="1" dirty="0">
                <a:solidFill>
                  <a:schemeClr val="bg1"/>
                </a:solidFill>
                <a:latin typeface="微软雅黑" panose="020B0503020204020204" charset="-122"/>
                <a:ea typeface="微软雅黑" panose="020B0503020204020204" charset="-122"/>
              </a:rPr>
              <a:t>)</a:t>
            </a:r>
          </a:p>
        </xdr:txBody>
      </xdr:sp>
      <xdr:sp macro="" textlink="">
        <xdr:nvSpPr>
          <xdr:cNvPr id="50" name="文本框 49">
            <a:extLst>
              <a:ext uri="{FF2B5EF4-FFF2-40B4-BE49-F238E27FC236}">
                <a16:creationId xmlns:a16="http://schemas.microsoft.com/office/drawing/2014/main" id="{00000000-0008-0000-0000-000032000000}"/>
              </a:ext>
            </a:extLst>
          </xdr:cNvPr>
          <xdr:cNvSpPr txBox="1"/>
        </xdr:nvSpPr>
        <xdr:spPr>
          <a:xfrm>
            <a:off x="33862" y="2262"/>
            <a:ext cx="1054" cy="300"/>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80%</a:t>
            </a:r>
          </a:p>
        </xdr:txBody>
      </xdr:sp>
      <xdr:sp macro="" textlink="">
        <xdr:nvSpPr>
          <xdr:cNvPr id="51" name="文本框 50">
            <a:extLst>
              <a:ext uri="{FF2B5EF4-FFF2-40B4-BE49-F238E27FC236}">
                <a16:creationId xmlns:a16="http://schemas.microsoft.com/office/drawing/2014/main" id="{00000000-0008-0000-0000-000033000000}"/>
              </a:ext>
            </a:extLst>
          </xdr:cNvPr>
          <xdr:cNvSpPr txBox="1"/>
        </xdr:nvSpPr>
        <xdr:spPr>
          <a:xfrm>
            <a:off x="29530" y="2268"/>
            <a:ext cx="1764" cy="770"/>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20%(</a:t>
            </a:r>
            <a:r>
              <a:rPr lang="zh-CN" altLang="en-US" sz="600" dirty="0">
                <a:latin typeface="微软雅黑" panose="020B0503020204020204" charset="-122"/>
                <a:ea typeface="微软雅黑" panose="020B0503020204020204" charset="-122"/>
              </a:rPr>
              <a:t>暂工商登记）</a:t>
            </a:r>
          </a:p>
          <a:p>
            <a:pPr>
              <a:defRPr/>
            </a:pPr>
            <a:r>
              <a:rPr lang="zh-CN" altLang="en-US" sz="600" dirty="0">
                <a:latin typeface="微软雅黑" panose="020B0503020204020204" charset="-122"/>
                <a:ea typeface="微软雅黑" panose="020B0503020204020204" charset="-122"/>
              </a:rPr>
              <a:t>固定收益收到后转出；</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向项目公司收取固定收益，</a:t>
            </a:r>
          </a:p>
          <a:p>
            <a:pPr>
              <a:defRPr/>
            </a:pPr>
            <a:r>
              <a:rPr lang="zh-CN" altLang="en-US" sz="600" dirty="0">
                <a:latin typeface="微软雅黑" panose="020B0503020204020204" charset="-122"/>
                <a:ea typeface="微软雅黑" panose="020B0503020204020204" charset="-122"/>
              </a:rPr>
              <a:t>无经营收益权</a:t>
            </a:r>
            <a:endParaRPr lang="en-US" altLang="zh-CN" sz="600" dirty="0">
              <a:latin typeface="微软雅黑" panose="020B0503020204020204" charset="-122"/>
              <a:ea typeface="微软雅黑" panose="020B0503020204020204" charset="-122"/>
            </a:endParaRPr>
          </a:p>
        </xdr:txBody>
      </xdr:sp>
      <xdr:cxnSp macro="">
        <xdr:nvCxnSpPr>
          <xdr:cNvPr id="79" name="直接连接符 78">
            <a:extLst>
              <a:ext uri="{FF2B5EF4-FFF2-40B4-BE49-F238E27FC236}">
                <a16:creationId xmlns:a16="http://schemas.microsoft.com/office/drawing/2014/main" id="{00000000-0008-0000-0000-00004F000000}"/>
              </a:ext>
            </a:extLst>
          </xdr:cNvPr>
          <xdr:cNvCxnSpPr>
            <a:stCxn id="76" idx="2"/>
            <a:endCxn id="45" idx="0"/>
          </xdr:cNvCxnSpPr>
        </xdr:nvCxnSpPr>
        <xdr:spPr>
          <a:xfrm>
            <a:off x="34350" y="1361"/>
            <a:ext cx="4" cy="360"/>
          </a:xfrm>
          <a:prstGeom prst="line">
            <a:avLst/>
          </a:prstGeom>
        </xdr:spPr>
        <xdr:style>
          <a:lnRef idx="2">
            <a:schemeClr val="accent1"/>
          </a:lnRef>
          <a:fillRef idx="0">
            <a:srgbClr val="FFFFFF"/>
          </a:fillRef>
          <a:effectRef idx="0">
            <a:srgbClr val="FFFFFF"/>
          </a:effectRef>
          <a:fontRef idx="minor">
            <a:schemeClr val="tx1"/>
          </a:fontRef>
        </xdr:style>
      </xdr:cxnSp>
      <xdr:sp macro="" textlink="">
        <xdr:nvSpPr>
          <xdr:cNvPr id="81" name="圆角矩形 6">
            <a:extLst>
              <a:ext uri="{FF2B5EF4-FFF2-40B4-BE49-F238E27FC236}">
                <a16:creationId xmlns:a16="http://schemas.microsoft.com/office/drawing/2014/main" id="{00000000-0008-0000-0000-000051000000}"/>
              </a:ext>
            </a:extLst>
          </xdr:cNvPr>
          <xdr:cNvSpPr/>
        </xdr:nvSpPr>
        <xdr:spPr>
          <a:xfrm>
            <a:off x="31337" y="2889"/>
            <a:ext cx="2299" cy="492"/>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惠州市俊发置业投资有限公司</a:t>
            </a:r>
            <a:r>
              <a:rPr lang="zh-CN" altLang="en-US" sz="500" dirty="0">
                <a:solidFill>
                  <a:schemeClr val="tx1"/>
                </a:solidFill>
                <a:latin typeface="微软雅黑" panose="020B0503020204020204" charset="-122"/>
                <a:ea typeface="微软雅黑" panose="020B0503020204020204" charset="-122"/>
              </a:rPr>
              <a:t>（金山湖）</a:t>
            </a:r>
          </a:p>
        </xdr:txBody>
      </xdr:sp>
      <xdr:cxnSp macro="">
        <xdr:nvCxnSpPr>
          <xdr:cNvPr id="56" name="肘形连接符 55">
            <a:extLst>
              <a:ext uri="{FF2B5EF4-FFF2-40B4-BE49-F238E27FC236}">
                <a16:creationId xmlns:a16="http://schemas.microsoft.com/office/drawing/2014/main" id="{00000000-0008-0000-0000-000038000000}"/>
              </a:ext>
            </a:extLst>
          </xdr:cNvPr>
          <xdr:cNvCxnSpPr>
            <a:stCxn id="45" idx="2"/>
            <a:endCxn id="81" idx="0"/>
          </xdr:cNvCxnSpPr>
        </xdr:nvCxnSpPr>
        <xdr:spPr>
          <a:xfrm rot="5400000">
            <a:off x="33096" y="1632"/>
            <a:ext cx="648" cy="1866"/>
          </a:xfrm>
          <a:prstGeom prst="bentConnector3">
            <a:avLst>
              <a:gd name="adj1" fmla="val 49923"/>
            </a:avLst>
          </a:prstGeom>
        </xdr:spPr>
        <xdr:style>
          <a:lnRef idx="2">
            <a:schemeClr val="accent1"/>
          </a:lnRef>
          <a:fillRef idx="0">
            <a:srgbClr val="FFFFFF"/>
          </a:fillRef>
          <a:effectRef idx="0">
            <a:srgbClr val="FFFFFF"/>
          </a:effectRef>
          <a:fontRef idx="minor">
            <a:schemeClr val="tx1"/>
          </a:fontRef>
        </xdr:style>
      </xdr:cxnSp>
      <xdr:cxnSp macro="">
        <xdr:nvCxnSpPr>
          <xdr:cNvPr id="69" name="肘形连接符 68">
            <a:extLst>
              <a:ext uri="{FF2B5EF4-FFF2-40B4-BE49-F238E27FC236}">
                <a16:creationId xmlns:a16="http://schemas.microsoft.com/office/drawing/2014/main" id="{00000000-0008-0000-0000-000045000000}"/>
              </a:ext>
            </a:extLst>
          </xdr:cNvPr>
          <xdr:cNvCxnSpPr>
            <a:stCxn id="46" idx="2"/>
            <a:endCxn id="81" idx="0"/>
          </xdr:cNvCxnSpPr>
        </xdr:nvCxnSpPr>
        <xdr:spPr>
          <a:xfrm rot="5400000" flipV="1">
            <a:off x="31398" y="1800"/>
            <a:ext cx="647" cy="1531"/>
          </a:xfrm>
          <a:prstGeom prst="bentConnector3">
            <a:avLst>
              <a:gd name="adj1" fmla="val 50077"/>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editAs="oneCell">
    <xdr:from>
      <xdr:col>25</xdr:col>
      <xdr:colOff>41275</xdr:colOff>
      <xdr:row>56</xdr:row>
      <xdr:rowOff>6350</xdr:rowOff>
    </xdr:from>
    <xdr:to>
      <xdr:col>28</xdr:col>
      <xdr:colOff>224472</xdr:colOff>
      <xdr:row>68</xdr:row>
      <xdr:rowOff>193675</xdr:rowOff>
    </xdr:to>
    <xdr:pic>
      <xdr:nvPicPr>
        <xdr:cNvPr id="16" name="图片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6"/>
        <a:stretch>
          <a:fillRect/>
        </a:stretch>
      </xdr:blipFill>
      <xdr:spPr>
        <a:xfrm>
          <a:off x="16698595" y="17272000"/>
          <a:ext cx="2723515" cy="3037840"/>
        </a:xfrm>
        <a:prstGeom prst="rect">
          <a:avLst/>
        </a:prstGeom>
        <a:noFill/>
        <a:ln w="9525">
          <a:noFill/>
        </a:ln>
      </xdr:spPr>
    </xdr:pic>
    <xdr:clientData/>
  </xdr:twoCellAnchor>
  <xdr:twoCellAnchor editAs="oneCell">
    <xdr:from>
      <xdr:col>29</xdr:col>
      <xdr:colOff>43815</xdr:colOff>
      <xdr:row>55</xdr:row>
      <xdr:rowOff>156845</xdr:rowOff>
    </xdr:from>
    <xdr:to>
      <xdr:col>31</xdr:col>
      <xdr:colOff>766127</xdr:colOff>
      <xdr:row>64</xdr:row>
      <xdr:rowOff>110278</xdr:rowOff>
    </xdr:to>
    <xdr:pic>
      <xdr:nvPicPr>
        <xdr:cNvPr id="61" name="图片 60">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7"/>
        <a:stretch>
          <a:fillRect/>
        </a:stretch>
      </xdr:blipFill>
      <xdr:spPr>
        <a:xfrm>
          <a:off x="19805015" y="17070070"/>
          <a:ext cx="2588260" cy="2220595"/>
        </a:xfrm>
        <a:prstGeom prst="rect">
          <a:avLst/>
        </a:prstGeom>
        <a:noFill/>
        <a:ln w="9525">
          <a:noFill/>
        </a:ln>
      </xdr:spPr>
    </xdr:pic>
    <xdr:clientData/>
  </xdr:twoCellAnchor>
  <xdr:twoCellAnchor>
    <xdr:from>
      <xdr:col>12</xdr:col>
      <xdr:colOff>559435</xdr:colOff>
      <xdr:row>1</xdr:row>
      <xdr:rowOff>57150</xdr:rowOff>
    </xdr:from>
    <xdr:to>
      <xdr:col>22</xdr:col>
      <xdr:colOff>572135</xdr:colOff>
      <xdr:row>7</xdr:row>
      <xdr:rowOff>171450</xdr:rowOff>
    </xdr:to>
    <xdr:grpSp>
      <xdr:nvGrpSpPr>
        <xdr:cNvPr id="12" name="组合 11">
          <a:extLst>
            <a:ext uri="{FF2B5EF4-FFF2-40B4-BE49-F238E27FC236}">
              <a16:creationId xmlns:a16="http://schemas.microsoft.com/office/drawing/2014/main" id="{00000000-0008-0000-0000-00000C000000}"/>
            </a:ext>
          </a:extLst>
        </xdr:cNvPr>
        <xdr:cNvGrpSpPr/>
      </xdr:nvGrpSpPr>
      <xdr:grpSpPr>
        <a:xfrm>
          <a:off x="8435340" y="270933"/>
          <a:ext cx="7182062" cy="0"/>
          <a:chOff x="13031" y="480"/>
          <a:chExt cx="10370" cy="3110"/>
        </a:xfrm>
      </xdr:grpSpPr>
      <xdr:sp macro="" textlink="">
        <xdr:nvSpPr>
          <xdr:cNvPr id="5" name="圆角矩形 5">
            <a:extLst>
              <a:ext uri="{FF2B5EF4-FFF2-40B4-BE49-F238E27FC236}">
                <a16:creationId xmlns:a16="http://schemas.microsoft.com/office/drawing/2014/main" id="{00000000-0008-0000-0000-000005000000}"/>
              </a:ext>
            </a:extLst>
          </xdr:cNvPr>
          <xdr:cNvSpPr/>
        </xdr:nvSpPr>
        <xdr:spPr>
          <a:xfrm>
            <a:off x="13113" y="1964"/>
            <a:ext cx="2371" cy="495"/>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en-US" altLang="zh-CN" sz="600" b="1" dirty="0">
                <a:solidFill>
                  <a:schemeClr val="bg1"/>
                </a:solidFill>
                <a:latin typeface="微软雅黑" panose="020B0503020204020204" charset="-122"/>
                <a:ea typeface="微软雅黑" panose="020B0503020204020204" charset="-122"/>
              </a:rPr>
              <a:t>深圳聚荣鼎盛控股发展有限公司</a:t>
            </a:r>
            <a:r>
              <a:rPr lang="zh-CN" altLang="en-US" sz="600" b="1" dirty="0">
                <a:solidFill>
                  <a:schemeClr val="bg1"/>
                </a:solidFill>
                <a:latin typeface="微软雅黑" panose="020B0503020204020204" charset="-122"/>
                <a:ea typeface="微软雅黑" panose="020B0503020204020204" charset="-122"/>
              </a:rPr>
              <a:t>（甲）</a:t>
            </a:r>
            <a:endParaRPr lang="en-US" altLang="zh-CN" sz="600" b="1" dirty="0">
              <a:solidFill>
                <a:schemeClr val="bg1"/>
              </a:solidFill>
              <a:latin typeface="微软雅黑" panose="020B0503020204020204" charset="-122"/>
              <a:ea typeface="微软雅黑" panose="020B0503020204020204" charset="-122"/>
            </a:endParaRPr>
          </a:p>
        </xdr:txBody>
      </xdr:sp>
      <xdr:sp macro="" textlink="">
        <xdr:nvSpPr>
          <xdr:cNvPr id="6" name="圆角矩形 1">
            <a:extLst>
              <a:ext uri="{FF2B5EF4-FFF2-40B4-BE49-F238E27FC236}">
                <a16:creationId xmlns:a16="http://schemas.microsoft.com/office/drawing/2014/main" id="{00000000-0008-0000-0000-000006000000}"/>
              </a:ext>
            </a:extLst>
          </xdr:cNvPr>
          <xdr:cNvSpPr/>
        </xdr:nvSpPr>
        <xdr:spPr>
          <a:xfrm>
            <a:off x="16244" y="480"/>
            <a:ext cx="2369" cy="492"/>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伟福控股有限公司（香港）</a:t>
            </a:r>
          </a:p>
        </xdr:txBody>
      </xdr:sp>
      <xdr:sp macro="" textlink="">
        <xdr:nvSpPr>
          <xdr:cNvPr id="11" name="圆角矩形 1">
            <a:extLst>
              <a:ext uri="{FF2B5EF4-FFF2-40B4-BE49-F238E27FC236}">
                <a16:creationId xmlns:a16="http://schemas.microsoft.com/office/drawing/2014/main" id="{00000000-0008-0000-0000-00000B000000}"/>
              </a:ext>
            </a:extLst>
          </xdr:cNvPr>
          <xdr:cNvSpPr/>
        </xdr:nvSpPr>
        <xdr:spPr>
          <a:xfrm>
            <a:off x="16234" y="1974"/>
            <a:ext cx="2369" cy="49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惠州市景达房地产开发有限公司（乙）</a:t>
            </a:r>
          </a:p>
        </xdr:txBody>
      </xdr:sp>
      <xdr:sp macro="" textlink="">
        <xdr:nvSpPr>
          <xdr:cNvPr id="18" name="圆角矩形 6">
            <a:extLst>
              <a:ext uri="{FF2B5EF4-FFF2-40B4-BE49-F238E27FC236}">
                <a16:creationId xmlns:a16="http://schemas.microsoft.com/office/drawing/2014/main" id="{00000000-0008-0000-0000-000012000000}"/>
              </a:ext>
            </a:extLst>
          </xdr:cNvPr>
          <xdr:cNvSpPr/>
        </xdr:nvSpPr>
        <xdr:spPr>
          <a:xfrm>
            <a:off x="14525" y="3098"/>
            <a:ext cx="2326" cy="492"/>
          </a:xfrm>
          <a:prstGeom prst="roundRect">
            <a:avLst/>
          </a:prstGeom>
          <a:noFill/>
          <a:ln w="28575" cmpd="sng">
            <a:solidFill>
              <a:srgbClr val="4874CB"/>
            </a:solidFill>
            <a:prstDash val="sysDash"/>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700" dirty="0">
                <a:solidFill>
                  <a:schemeClr val="tx1"/>
                </a:solidFill>
                <a:latin typeface="微软雅黑" panose="020B0503020204020204" charset="-122"/>
                <a:ea typeface="微软雅黑" panose="020B0503020204020204" charset="-122"/>
              </a:rPr>
              <a:t>项目公司（南站）</a:t>
            </a:r>
          </a:p>
        </xdr:txBody>
      </xdr:sp>
      <xdr:sp macro="" textlink="">
        <xdr:nvSpPr>
          <xdr:cNvPr id="23" name="文本框 22">
            <a:extLst>
              <a:ext uri="{FF2B5EF4-FFF2-40B4-BE49-F238E27FC236}">
                <a16:creationId xmlns:a16="http://schemas.microsoft.com/office/drawing/2014/main" id="{00000000-0008-0000-0000-000017000000}"/>
              </a:ext>
            </a:extLst>
          </xdr:cNvPr>
          <xdr:cNvSpPr txBox="1"/>
        </xdr:nvSpPr>
        <xdr:spPr>
          <a:xfrm>
            <a:off x="14374" y="2472"/>
            <a:ext cx="1566" cy="299"/>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30%</a:t>
            </a:r>
            <a:r>
              <a:rPr lang="zh-CN" altLang="en-US" sz="600" dirty="0">
                <a:latin typeface="微软雅黑" panose="020B0503020204020204" charset="-122"/>
                <a:ea typeface="微软雅黑" panose="020B0503020204020204" charset="-122"/>
              </a:rPr>
              <a:t>（</a:t>
            </a:r>
            <a:r>
              <a:rPr lang="zh-CN" altLang="en-US" sz="600" dirty="0">
                <a:latin typeface="微软雅黑" panose="020B0503020204020204" charset="-122"/>
                <a:ea typeface="微软雅黑" panose="020B0503020204020204" charset="-122"/>
                <a:sym typeface="+mn-ea"/>
              </a:rPr>
              <a:t>协议规划股权</a:t>
            </a:r>
            <a:r>
              <a:rPr lang="zh-CN" altLang="en-US" sz="600" dirty="0">
                <a:latin typeface="微软雅黑" panose="020B0503020204020204" charset="-122"/>
                <a:ea typeface="微软雅黑" panose="020B0503020204020204" charset="-122"/>
              </a:rPr>
              <a:t>）</a:t>
            </a:r>
            <a:endParaRPr lang="en-US" altLang="zh-CN" sz="600" dirty="0">
              <a:latin typeface="微软雅黑" panose="020B0503020204020204" charset="-122"/>
              <a:ea typeface="微软雅黑" panose="020B0503020204020204" charset="-122"/>
            </a:endParaRPr>
          </a:p>
        </xdr:txBody>
      </xdr:sp>
      <xdr:sp macro="" textlink="">
        <xdr:nvSpPr>
          <xdr:cNvPr id="24" name="文本框 23">
            <a:extLst>
              <a:ext uri="{FF2B5EF4-FFF2-40B4-BE49-F238E27FC236}">
                <a16:creationId xmlns:a16="http://schemas.microsoft.com/office/drawing/2014/main" id="{00000000-0008-0000-0000-000018000000}"/>
              </a:ext>
            </a:extLst>
          </xdr:cNvPr>
          <xdr:cNvSpPr txBox="1"/>
        </xdr:nvSpPr>
        <xdr:spPr>
          <a:xfrm>
            <a:off x="17319" y="2469"/>
            <a:ext cx="2819" cy="299"/>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70%</a:t>
            </a:r>
            <a:r>
              <a:rPr lang="zh-CN" altLang="en-US" sz="600" dirty="0">
                <a:latin typeface="微软雅黑" panose="020B0503020204020204" charset="-122"/>
                <a:ea typeface="微软雅黑" panose="020B0503020204020204" charset="-122"/>
              </a:rPr>
              <a:t>（协议规划股权）</a:t>
            </a:r>
            <a:endParaRPr lang="en-US" altLang="zh-CN" sz="600" dirty="0">
              <a:latin typeface="微软雅黑" panose="020B0503020204020204" charset="-122"/>
              <a:ea typeface="微软雅黑" panose="020B0503020204020204" charset="-122"/>
            </a:endParaRPr>
          </a:p>
        </xdr:txBody>
      </xdr:sp>
      <xdr:sp macro="" textlink="">
        <xdr:nvSpPr>
          <xdr:cNvPr id="25" name="圆角矩形 1">
            <a:extLst>
              <a:ext uri="{FF2B5EF4-FFF2-40B4-BE49-F238E27FC236}">
                <a16:creationId xmlns:a16="http://schemas.microsoft.com/office/drawing/2014/main" id="{00000000-0008-0000-0000-000019000000}"/>
              </a:ext>
            </a:extLst>
          </xdr:cNvPr>
          <xdr:cNvSpPr/>
        </xdr:nvSpPr>
        <xdr:spPr>
          <a:xfrm>
            <a:off x="16254" y="1196"/>
            <a:ext cx="2369" cy="492"/>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惠州市合景经济信息咨询有限公司</a:t>
            </a:r>
          </a:p>
        </xdr:txBody>
      </xdr:sp>
      <xdr:sp macro="" textlink="">
        <xdr:nvSpPr>
          <xdr:cNvPr id="26" name="圆角矩形 1">
            <a:extLst>
              <a:ext uri="{FF2B5EF4-FFF2-40B4-BE49-F238E27FC236}">
                <a16:creationId xmlns:a16="http://schemas.microsoft.com/office/drawing/2014/main" id="{00000000-0008-0000-0000-00001A000000}"/>
              </a:ext>
            </a:extLst>
          </xdr:cNvPr>
          <xdr:cNvSpPr/>
        </xdr:nvSpPr>
        <xdr:spPr>
          <a:xfrm>
            <a:off x="19298" y="1955"/>
            <a:ext cx="2368" cy="49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杨老太（丙）</a:t>
            </a:r>
          </a:p>
        </xdr:txBody>
      </xdr:sp>
      <xdr:cxnSp macro="">
        <xdr:nvCxnSpPr>
          <xdr:cNvPr id="28" name="肘形连接符 27">
            <a:extLst>
              <a:ext uri="{FF2B5EF4-FFF2-40B4-BE49-F238E27FC236}">
                <a16:creationId xmlns:a16="http://schemas.microsoft.com/office/drawing/2014/main" id="{00000000-0008-0000-0000-00001C000000}"/>
              </a:ext>
            </a:extLst>
          </xdr:cNvPr>
          <xdr:cNvCxnSpPr>
            <a:stCxn id="26" idx="2"/>
            <a:endCxn id="18" idx="0"/>
          </xdr:cNvCxnSpPr>
        </xdr:nvCxnSpPr>
        <xdr:spPr>
          <a:xfrm rot="5400000">
            <a:off x="17756" y="372"/>
            <a:ext cx="653" cy="4795"/>
          </a:xfrm>
          <a:prstGeom prst="bentConnector3">
            <a:avLst>
              <a:gd name="adj1" fmla="val 50000"/>
            </a:avLst>
          </a:prstGeom>
          <a:ln w="12700" cap="flat" cmpd="sng" algn="ctr">
            <a:solidFill>
              <a:schemeClr val="accent1"/>
            </a:solidFill>
            <a:prstDash val="dash"/>
            <a:miter lim="800000"/>
          </a:ln>
        </xdr:spPr>
        <xdr:style>
          <a:lnRef idx="0">
            <a:schemeClr val="accent1"/>
          </a:lnRef>
          <a:fillRef idx="0">
            <a:srgbClr val="FFFFFF"/>
          </a:fillRef>
          <a:effectRef idx="0">
            <a:srgbClr val="FFFFFF"/>
          </a:effectRef>
          <a:fontRef idx="minor">
            <a:schemeClr val="tx1"/>
          </a:fontRef>
        </xdr:style>
      </xdr:cxnSp>
      <xdr:sp macro="" textlink="">
        <xdr:nvSpPr>
          <xdr:cNvPr id="44" name="文本框 43">
            <a:extLst>
              <a:ext uri="{FF2B5EF4-FFF2-40B4-BE49-F238E27FC236}">
                <a16:creationId xmlns:a16="http://schemas.microsoft.com/office/drawing/2014/main" id="{00000000-0008-0000-0000-00002C000000}"/>
              </a:ext>
            </a:extLst>
          </xdr:cNvPr>
          <xdr:cNvSpPr txBox="1"/>
        </xdr:nvSpPr>
        <xdr:spPr>
          <a:xfrm>
            <a:off x="19742" y="2442"/>
            <a:ext cx="2323" cy="301"/>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若项目成，定额收益</a:t>
            </a:r>
            <a:r>
              <a:rPr lang="en-US" altLang="zh-CN" sz="600" dirty="0">
                <a:latin typeface="微软雅黑" panose="020B0503020204020204" charset="-122"/>
                <a:ea typeface="微软雅黑" panose="020B0503020204020204" charset="-122"/>
              </a:rPr>
              <a:t>6000</a:t>
            </a:r>
            <a:r>
              <a:rPr lang="zh-CN" altLang="en-US" sz="600" dirty="0">
                <a:latin typeface="微软雅黑" panose="020B0503020204020204" charset="-122"/>
                <a:ea typeface="微软雅黑" panose="020B0503020204020204" charset="-122"/>
              </a:rPr>
              <a:t>万，不占股</a:t>
            </a:r>
            <a:endParaRPr lang="en-US" altLang="zh-CN" sz="600" dirty="0">
              <a:latin typeface="微软雅黑" panose="020B0503020204020204" charset="-122"/>
              <a:ea typeface="微软雅黑" panose="020B0503020204020204" charset="-122"/>
            </a:endParaRPr>
          </a:p>
        </xdr:txBody>
      </xdr:sp>
      <xdr:cxnSp macro="">
        <xdr:nvCxnSpPr>
          <xdr:cNvPr id="90" name="直接连接符 89">
            <a:extLst>
              <a:ext uri="{FF2B5EF4-FFF2-40B4-BE49-F238E27FC236}">
                <a16:creationId xmlns:a16="http://schemas.microsoft.com/office/drawing/2014/main" id="{00000000-0008-0000-0000-00005A000000}"/>
              </a:ext>
            </a:extLst>
          </xdr:cNvPr>
          <xdr:cNvCxnSpPr>
            <a:stCxn id="6" idx="2"/>
            <a:endCxn id="25" idx="0"/>
          </xdr:cNvCxnSpPr>
        </xdr:nvCxnSpPr>
        <xdr:spPr>
          <a:xfrm>
            <a:off x="17429" y="972"/>
            <a:ext cx="0" cy="224"/>
          </a:xfrm>
          <a:prstGeom prst="line">
            <a:avLst/>
          </a:prstGeom>
        </xdr:spPr>
        <xdr:style>
          <a:lnRef idx="2">
            <a:schemeClr val="accent1"/>
          </a:lnRef>
          <a:fillRef idx="0">
            <a:srgbClr val="FFFFFF"/>
          </a:fillRef>
          <a:effectRef idx="0">
            <a:srgbClr val="FFFFFF"/>
          </a:effectRef>
          <a:fontRef idx="minor">
            <a:schemeClr val="tx1"/>
          </a:fontRef>
        </xdr:style>
      </xdr:cxnSp>
      <xdr:cxnSp macro="">
        <xdr:nvCxnSpPr>
          <xdr:cNvPr id="91" name="直接连接符 90">
            <a:extLst>
              <a:ext uri="{FF2B5EF4-FFF2-40B4-BE49-F238E27FC236}">
                <a16:creationId xmlns:a16="http://schemas.microsoft.com/office/drawing/2014/main" id="{00000000-0008-0000-0000-00005B000000}"/>
              </a:ext>
            </a:extLst>
          </xdr:cNvPr>
          <xdr:cNvCxnSpPr>
            <a:stCxn id="25" idx="2"/>
            <a:endCxn id="11" idx="0"/>
          </xdr:cNvCxnSpPr>
        </xdr:nvCxnSpPr>
        <xdr:spPr>
          <a:xfrm flipH="1">
            <a:off x="17418" y="1688"/>
            <a:ext cx="0" cy="286"/>
          </a:xfrm>
          <a:prstGeom prst="line">
            <a:avLst/>
          </a:prstGeom>
        </xdr:spPr>
        <xdr:style>
          <a:lnRef idx="2">
            <a:schemeClr val="accent1"/>
          </a:lnRef>
          <a:fillRef idx="0">
            <a:srgbClr val="FFFFFF"/>
          </a:fillRef>
          <a:effectRef idx="0">
            <a:srgbClr val="FFFFFF"/>
          </a:effectRef>
          <a:fontRef idx="minor">
            <a:schemeClr val="tx1"/>
          </a:fontRef>
        </xdr:style>
      </xdr:cxnSp>
      <xdr:sp macro="" textlink="">
        <xdr:nvSpPr>
          <xdr:cNvPr id="7" name="文本框 6">
            <a:extLst>
              <a:ext uri="{FF2B5EF4-FFF2-40B4-BE49-F238E27FC236}">
                <a16:creationId xmlns:a16="http://schemas.microsoft.com/office/drawing/2014/main" id="{00000000-0008-0000-0000-000007000000}"/>
              </a:ext>
            </a:extLst>
          </xdr:cNvPr>
          <xdr:cNvSpPr txBox="1"/>
        </xdr:nvSpPr>
        <xdr:spPr>
          <a:xfrm>
            <a:off x="15613" y="2805"/>
            <a:ext cx="2335" cy="320"/>
          </a:xfrm>
          <a:prstGeom prst="rect">
            <a:avLst/>
          </a:prstGeom>
          <a:noFill/>
        </xdr:spPr>
        <xdr:txBody>
          <a:bodyPr wrap="square" rtlCol="0">
            <a:no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规划设立，实际未设立</a:t>
            </a:r>
            <a:endParaRPr lang="en-US" altLang="zh-CN" sz="600" dirty="0">
              <a:latin typeface="微软雅黑" panose="020B0503020204020204" charset="-122"/>
              <a:ea typeface="微软雅黑" panose="020B0503020204020204" charset="-122"/>
            </a:endParaRPr>
          </a:p>
        </xdr:txBody>
      </xdr:sp>
      <xdr:sp macro="" textlink="">
        <xdr:nvSpPr>
          <xdr:cNvPr id="8" name="矩形: 圆角 7">
            <a:extLst>
              <a:ext uri="{FF2B5EF4-FFF2-40B4-BE49-F238E27FC236}">
                <a16:creationId xmlns:a16="http://schemas.microsoft.com/office/drawing/2014/main" id="{00000000-0008-0000-0000-000008000000}"/>
              </a:ext>
            </a:extLst>
          </xdr:cNvPr>
          <xdr:cNvSpPr/>
        </xdr:nvSpPr>
        <xdr:spPr>
          <a:xfrm>
            <a:off x="13031" y="1940"/>
            <a:ext cx="10234" cy="528"/>
          </a:xfrm>
          <a:prstGeom prst="roundRect">
            <a:avLst/>
          </a:prstGeom>
          <a:noFill/>
          <a:ln w="1270" cmpd="sng">
            <a:solidFill>
              <a:schemeClr val="accent2">
                <a:lumMod val="40000"/>
                <a:lumOff val="60000"/>
              </a:schemeClr>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sp macro="" textlink="">
        <xdr:nvSpPr>
          <xdr:cNvPr id="10" name="文本框 9">
            <a:extLst>
              <a:ext uri="{FF2B5EF4-FFF2-40B4-BE49-F238E27FC236}">
                <a16:creationId xmlns:a16="http://schemas.microsoft.com/office/drawing/2014/main" id="{00000000-0008-0000-0000-00000A000000}"/>
              </a:ext>
            </a:extLst>
          </xdr:cNvPr>
          <xdr:cNvSpPr txBox="1"/>
        </xdr:nvSpPr>
        <xdr:spPr>
          <a:xfrm>
            <a:off x="21563" y="2022"/>
            <a:ext cx="1839" cy="380"/>
          </a:xfrm>
          <a:prstGeom prst="rect">
            <a:avLst/>
          </a:prstGeom>
          <a:noFill/>
        </xdr:spPr>
        <xdr:txBody>
          <a:bodyPr wrap="square" rtlCol="0">
            <a:no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a:t>
            </a:r>
            <a:r>
              <a:rPr lang="zh-CN" altLang="en-US" sz="600" dirty="0">
                <a:latin typeface="微软雅黑" panose="020B0503020204020204" charset="-122"/>
                <a:ea typeface="微软雅黑" panose="020B0503020204020204" charset="-122"/>
              </a:rPr>
              <a:t>战略合作协议</a:t>
            </a:r>
            <a:r>
              <a:rPr lang="en-US" altLang="zh-CN" sz="600" dirty="0">
                <a:latin typeface="微软雅黑" panose="020B0503020204020204" charset="-122"/>
                <a:ea typeface="微软雅黑" panose="020B0503020204020204" charset="-122"/>
              </a:rPr>
              <a:t>》</a:t>
            </a:r>
            <a:r>
              <a:rPr lang="zh-CN" altLang="en-US" sz="600" dirty="0">
                <a:latin typeface="微软雅黑" panose="020B0503020204020204" charset="-122"/>
                <a:ea typeface="微软雅黑" panose="020B0503020204020204" charset="-122"/>
              </a:rPr>
              <a:t>签订主体</a:t>
            </a:r>
            <a:endParaRPr lang="en-US" altLang="zh-CN" sz="600" dirty="0">
              <a:latin typeface="微软雅黑" panose="020B0503020204020204" charset="-122"/>
              <a:ea typeface="微软雅黑" panose="020B0503020204020204" charset="-122"/>
            </a:endParaRPr>
          </a:p>
        </xdr:txBody>
      </xdr:sp>
    </xdr:grpSp>
    <xdr:clientData/>
  </xdr:twoCellAnchor>
  <xdr:twoCellAnchor>
    <xdr:from>
      <xdr:col>25</xdr:col>
      <xdr:colOff>589707</xdr:colOff>
      <xdr:row>3</xdr:row>
      <xdr:rowOff>74958</xdr:rowOff>
    </xdr:from>
    <xdr:to>
      <xdr:col>26</xdr:col>
      <xdr:colOff>719222</xdr:colOff>
      <xdr:row>5</xdr:row>
      <xdr:rowOff>86376</xdr:rowOff>
    </xdr:to>
    <xdr:cxnSp macro="">
      <xdr:nvCxnSpPr>
        <xdr:cNvPr id="13" name="肘形连接符 12">
          <a:extLst>
            <a:ext uri="{FF2B5EF4-FFF2-40B4-BE49-F238E27FC236}">
              <a16:creationId xmlns:a16="http://schemas.microsoft.com/office/drawing/2014/main" id="{00000000-0008-0000-0000-00000D000000}"/>
            </a:ext>
          </a:extLst>
        </xdr:cNvPr>
        <xdr:cNvCxnSpPr>
          <a:stCxn id="83" idx="2"/>
          <a:endCxn id="55" idx="0"/>
        </xdr:cNvCxnSpPr>
      </xdr:nvCxnSpPr>
      <xdr:spPr>
        <a:xfrm rot="16200000" flipH="1">
          <a:off x="17560290" y="1215390"/>
          <a:ext cx="386715" cy="1013460"/>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clientData/>
  </xdr:twoCellAnchor>
  <xdr:twoCellAnchor>
    <xdr:from>
      <xdr:col>37</xdr:col>
      <xdr:colOff>14287</xdr:colOff>
      <xdr:row>1</xdr:row>
      <xdr:rowOff>0</xdr:rowOff>
    </xdr:from>
    <xdr:to>
      <xdr:col>43</xdr:col>
      <xdr:colOff>105091</xdr:colOff>
      <xdr:row>6</xdr:row>
      <xdr:rowOff>100012</xdr:rowOff>
    </xdr:to>
    <xdr:grpSp>
      <xdr:nvGrpSpPr>
        <xdr:cNvPr id="122" name="组合 121">
          <a:extLst>
            <a:ext uri="{FF2B5EF4-FFF2-40B4-BE49-F238E27FC236}">
              <a16:creationId xmlns:a16="http://schemas.microsoft.com/office/drawing/2014/main" id="{00000000-0008-0000-0000-00007A000000}"/>
            </a:ext>
          </a:extLst>
        </xdr:cNvPr>
        <xdr:cNvGrpSpPr/>
      </xdr:nvGrpSpPr>
      <xdr:grpSpPr>
        <a:xfrm>
          <a:off x="26767049" y="270933"/>
          <a:ext cx="5699547" cy="0"/>
          <a:chOff x="39840" y="370"/>
          <a:chExt cx="6946" cy="2694"/>
        </a:xfrm>
      </xdr:grpSpPr>
      <xdr:sp macro="" textlink="">
        <xdr:nvSpPr>
          <xdr:cNvPr id="123" name="文本框 122">
            <a:extLst>
              <a:ext uri="{FF2B5EF4-FFF2-40B4-BE49-F238E27FC236}">
                <a16:creationId xmlns:a16="http://schemas.microsoft.com/office/drawing/2014/main" id="{00000000-0008-0000-0000-00007B000000}"/>
              </a:ext>
            </a:extLst>
          </xdr:cNvPr>
          <xdr:cNvSpPr txBox="1"/>
        </xdr:nvSpPr>
        <xdr:spPr>
          <a:xfrm>
            <a:off x="39840" y="370"/>
            <a:ext cx="2367" cy="379"/>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900" b="1" dirty="0">
                <a:solidFill>
                  <a:srgbClr val="C00000"/>
                </a:solidFill>
                <a:latin typeface="微软雅黑" panose="020B0503020204020204" charset="-122"/>
                <a:ea typeface="微软雅黑" panose="020B0503020204020204" charset="-122"/>
              </a:rPr>
              <a:t>原始架构</a:t>
            </a:r>
          </a:p>
        </xdr:txBody>
      </xdr:sp>
      <xdr:sp macro="" textlink="">
        <xdr:nvSpPr>
          <xdr:cNvPr id="124" name="圆角矩形 6">
            <a:extLst>
              <a:ext uri="{FF2B5EF4-FFF2-40B4-BE49-F238E27FC236}">
                <a16:creationId xmlns:a16="http://schemas.microsoft.com/office/drawing/2014/main" id="{00000000-0008-0000-0000-00007C000000}"/>
              </a:ext>
            </a:extLst>
          </xdr:cNvPr>
          <xdr:cNvSpPr/>
        </xdr:nvSpPr>
        <xdr:spPr>
          <a:xfrm>
            <a:off x="42411" y="2571"/>
            <a:ext cx="2319" cy="493"/>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惠州市海景嘉福房地产开发有限公司</a:t>
            </a:r>
          </a:p>
          <a:p>
            <a:pPr algn="ctr"/>
            <a:r>
              <a:rPr lang="zh-CN" altLang="en-US" sz="500" dirty="0">
                <a:solidFill>
                  <a:schemeClr val="tx1"/>
                </a:solidFill>
                <a:latin typeface="微软雅黑" panose="020B0503020204020204" charset="-122"/>
                <a:ea typeface="微软雅黑" panose="020B0503020204020204" charset="-122"/>
              </a:rPr>
              <a:t>（海景嘉福）</a:t>
            </a:r>
          </a:p>
        </xdr:txBody>
      </xdr:sp>
      <xdr:cxnSp macro="">
        <xdr:nvCxnSpPr>
          <xdr:cNvPr id="125" name="连接符: 肘形 8">
            <a:extLst>
              <a:ext uri="{FF2B5EF4-FFF2-40B4-BE49-F238E27FC236}">
                <a16:creationId xmlns:a16="http://schemas.microsoft.com/office/drawing/2014/main" id="{00000000-0008-0000-0000-00007D000000}"/>
              </a:ext>
            </a:extLst>
          </xdr:cNvPr>
          <xdr:cNvCxnSpPr>
            <a:stCxn id="132" idx="2"/>
            <a:endCxn id="124" idx="0"/>
          </xdr:cNvCxnSpPr>
        </xdr:nvCxnSpPr>
        <xdr:spPr>
          <a:xfrm rot="16200000" flipH="1">
            <a:off x="41774" y="774"/>
            <a:ext cx="1215" cy="2378"/>
          </a:xfrm>
          <a:prstGeom prst="bentConnector3">
            <a:avLst>
              <a:gd name="adj1" fmla="val 50000"/>
            </a:avLst>
          </a:prstGeom>
        </xdr:spPr>
        <xdr:style>
          <a:lnRef idx="1">
            <a:schemeClr val="accent1"/>
          </a:lnRef>
          <a:fillRef idx="0">
            <a:schemeClr val="accent1"/>
          </a:fillRef>
          <a:effectRef idx="0">
            <a:schemeClr val="accent1"/>
          </a:effectRef>
          <a:fontRef idx="minor">
            <a:schemeClr val="tx1"/>
          </a:fontRef>
        </xdr:style>
      </xdr:cxnSp>
      <xdr:sp macro="" textlink="">
        <xdr:nvSpPr>
          <xdr:cNvPr id="126" name="文本框 125">
            <a:extLst>
              <a:ext uri="{FF2B5EF4-FFF2-40B4-BE49-F238E27FC236}">
                <a16:creationId xmlns:a16="http://schemas.microsoft.com/office/drawing/2014/main" id="{00000000-0008-0000-0000-00007E000000}"/>
              </a:ext>
            </a:extLst>
          </xdr:cNvPr>
          <xdr:cNvSpPr txBox="1"/>
        </xdr:nvSpPr>
        <xdr:spPr>
          <a:xfrm>
            <a:off x="45702" y="1634"/>
            <a:ext cx="1084" cy="263"/>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44.1%</a:t>
            </a:r>
          </a:p>
        </xdr:txBody>
      </xdr:sp>
      <xdr:sp macro="" textlink="">
        <xdr:nvSpPr>
          <xdr:cNvPr id="127" name="圆角矩形 1">
            <a:extLst>
              <a:ext uri="{FF2B5EF4-FFF2-40B4-BE49-F238E27FC236}">
                <a16:creationId xmlns:a16="http://schemas.microsoft.com/office/drawing/2014/main" id="{00000000-0008-0000-0000-00007F000000}"/>
              </a:ext>
            </a:extLst>
          </xdr:cNvPr>
          <xdr:cNvSpPr/>
        </xdr:nvSpPr>
        <xdr:spPr>
          <a:xfrm>
            <a:off x="42561" y="872"/>
            <a:ext cx="2014" cy="505"/>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杨达红</a:t>
            </a:r>
          </a:p>
        </xdr:txBody>
      </xdr:sp>
      <xdr:sp macro="" textlink="">
        <xdr:nvSpPr>
          <xdr:cNvPr id="128" name="文本框 127">
            <a:extLst>
              <a:ext uri="{FF2B5EF4-FFF2-40B4-BE49-F238E27FC236}">
                <a16:creationId xmlns:a16="http://schemas.microsoft.com/office/drawing/2014/main" id="{00000000-0008-0000-0000-000080000000}"/>
              </a:ext>
            </a:extLst>
          </xdr:cNvPr>
          <xdr:cNvSpPr txBox="1"/>
        </xdr:nvSpPr>
        <xdr:spPr>
          <a:xfrm>
            <a:off x="39897" y="1445"/>
            <a:ext cx="1837" cy="567"/>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 （工商登记）</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（实际收益权</a:t>
            </a:r>
            <a:r>
              <a:rPr lang="en-US" altLang="zh-CN" sz="600" dirty="0">
                <a:latin typeface="微软雅黑" panose="020B0503020204020204" charset="-122"/>
                <a:ea typeface="微软雅黑" panose="020B0503020204020204" charset="-122"/>
              </a:rPr>
              <a:t>20%</a:t>
            </a:r>
            <a:r>
              <a:rPr lang="zh-CN" altLang="en-US" sz="600" dirty="0">
                <a:latin typeface="微软雅黑" panose="020B0503020204020204" charset="-122"/>
                <a:ea typeface="微软雅黑" panose="020B0503020204020204" charset="-122"/>
              </a:rPr>
              <a:t>，</a:t>
            </a:r>
            <a:r>
              <a:rPr lang="en-US" altLang="zh-CN" sz="600" dirty="0">
                <a:latin typeface="微软雅黑" panose="020B0503020204020204" charset="-122"/>
                <a:ea typeface="微软雅黑" panose="020B0503020204020204" charset="-122"/>
              </a:rPr>
              <a:t>31%</a:t>
            </a:r>
            <a:r>
              <a:rPr lang="zh-CN" altLang="en-US" sz="600" dirty="0">
                <a:latin typeface="微软雅黑" panose="020B0503020204020204" charset="-122"/>
                <a:ea typeface="微软雅黑" panose="020B0503020204020204" charset="-122"/>
              </a:rPr>
              <a:t>股权代持）</a:t>
            </a:r>
          </a:p>
        </xdr:txBody>
      </xdr:sp>
      <xdr:sp macro="" textlink="">
        <xdr:nvSpPr>
          <xdr:cNvPr id="129" name="文本框 128">
            <a:extLst>
              <a:ext uri="{FF2B5EF4-FFF2-40B4-BE49-F238E27FC236}">
                <a16:creationId xmlns:a16="http://schemas.microsoft.com/office/drawing/2014/main" id="{00000000-0008-0000-0000-000081000000}"/>
              </a:ext>
            </a:extLst>
          </xdr:cNvPr>
          <xdr:cNvSpPr txBox="1"/>
        </xdr:nvSpPr>
        <xdr:spPr>
          <a:xfrm>
            <a:off x="43314" y="1627"/>
            <a:ext cx="952" cy="273"/>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4.9%</a:t>
            </a:r>
          </a:p>
        </xdr:txBody>
      </xdr:sp>
      <xdr:cxnSp macro="">
        <xdr:nvCxnSpPr>
          <xdr:cNvPr id="130" name="肘形连接符 79">
            <a:extLst>
              <a:ext uri="{FF2B5EF4-FFF2-40B4-BE49-F238E27FC236}">
                <a16:creationId xmlns:a16="http://schemas.microsoft.com/office/drawing/2014/main" id="{00000000-0008-0000-0000-000082000000}"/>
              </a:ext>
            </a:extLst>
          </xdr:cNvPr>
          <xdr:cNvCxnSpPr>
            <a:stCxn id="143" idx="2"/>
            <a:endCxn id="124" idx="0"/>
          </xdr:cNvCxnSpPr>
        </xdr:nvCxnSpPr>
        <xdr:spPr>
          <a:xfrm rot="5400000">
            <a:off x="43947" y="1024"/>
            <a:ext cx="1170" cy="1923"/>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cxnSp macro="">
        <xdr:nvCxnSpPr>
          <xdr:cNvPr id="131" name="肘形连接符 86">
            <a:extLst>
              <a:ext uri="{FF2B5EF4-FFF2-40B4-BE49-F238E27FC236}">
                <a16:creationId xmlns:a16="http://schemas.microsoft.com/office/drawing/2014/main" id="{00000000-0008-0000-0000-000083000000}"/>
              </a:ext>
            </a:extLst>
          </xdr:cNvPr>
          <xdr:cNvCxnSpPr>
            <a:stCxn id="127" idx="2"/>
            <a:endCxn id="124" idx="0"/>
          </xdr:cNvCxnSpPr>
        </xdr:nvCxnSpPr>
        <xdr:spPr>
          <a:xfrm rot="16200000" flipH="1">
            <a:off x="42972" y="1973"/>
            <a:ext cx="1194" cy="3"/>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xdr:from>
      <xdr:col>37</xdr:col>
      <xdr:colOff>76198</xdr:colOff>
      <xdr:row>1</xdr:row>
      <xdr:rowOff>323850</xdr:rowOff>
    </xdr:from>
    <xdr:to>
      <xdr:col>38</xdr:col>
      <xdr:colOff>895351</xdr:colOff>
      <xdr:row>2</xdr:row>
      <xdr:rowOff>295275</xdr:rowOff>
    </xdr:to>
    <xdr:sp macro="" textlink="">
      <xdr:nvSpPr>
        <xdr:cNvPr id="132" name="圆角矩形 5">
          <a:extLst>
            <a:ext uri="{FF2B5EF4-FFF2-40B4-BE49-F238E27FC236}">
              <a16:creationId xmlns:a16="http://schemas.microsoft.com/office/drawing/2014/main" id="{00000000-0008-0000-0000-000084000000}"/>
            </a:ext>
          </a:extLst>
        </xdr:cNvPr>
        <xdr:cNvSpPr/>
      </xdr:nvSpPr>
      <xdr:spPr>
        <a:xfrm>
          <a:off x="26811605" y="590550"/>
          <a:ext cx="1505585" cy="301625"/>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珠海横琴隽福项目投资合伙企业</a:t>
          </a:r>
        </a:p>
        <a:p>
          <a:pPr algn="ct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a:t>
          </a:r>
        </a:p>
      </xdr:txBody>
    </xdr:sp>
    <xdr:clientData/>
  </xdr:twoCellAnchor>
  <xdr:twoCellAnchor>
    <xdr:from>
      <xdr:col>45</xdr:col>
      <xdr:colOff>694904</xdr:colOff>
      <xdr:row>2</xdr:row>
      <xdr:rowOff>487689</xdr:rowOff>
    </xdr:from>
    <xdr:to>
      <xdr:col>47</xdr:col>
      <xdr:colOff>61065</xdr:colOff>
      <xdr:row>2</xdr:row>
      <xdr:rowOff>639325</xdr:rowOff>
    </xdr:to>
    <xdr:sp macro="" textlink="">
      <xdr:nvSpPr>
        <xdr:cNvPr id="135" name="文本框 134">
          <a:extLst>
            <a:ext uri="{FF2B5EF4-FFF2-40B4-BE49-F238E27FC236}">
              <a16:creationId xmlns:a16="http://schemas.microsoft.com/office/drawing/2014/main" id="{00000000-0008-0000-0000-000087000000}"/>
            </a:ext>
          </a:extLst>
        </xdr:cNvPr>
        <xdr:cNvSpPr txBox="1"/>
      </xdr:nvSpPr>
      <xdr:spPr>
        <a:xfrm>
          <a:off x="34635440" y="1084580"/>
          <a:ext cx="1087120" cy="151130"/>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44.1%</a:t>
          </a:r>
        </a:p>
      </xdr:txBody>
    </xdr:sp>
    <xdr:clientData/>
  </xdr:twoCellAnchor>
  <xdr:twoCellAnchor>
    <xdr:from>
      <xdr:col>43</xdr:col>
      <xdr:colOff>1038147</xdr:colOff>
      <xdr:row>2</xdr:row>
      <xdr:rowOff>500742</xdr:rowOff>
    </xdr:from>
    <xdr:to>
      <xdr:col>45</xdr:col>
      <xdr:colOff>0</xdr:colOff>
      <xdr:row>3</xdr:row>
      <xdr:rowOff>119249</xdr:rowOff>
    </xdr:to>
    <xdr:sp macro="" textlink="">
      <xdr:nvSpPr>
        <xdr:cNvPr id="137" name="文本框 136">
          <a:extLst>
            <a:ext uri="{FF2B5EF4-FFF2-40B4-BE49-F238E27FC236}">
              <a16:creationId xmlns:a16="http://schemas.microsoft.com/office/drawing/2014/main" id="{00000000-0008-0000-0000-000089000000}"/>
            </a:ext>
          </a:extLst>
        </xdr:cNvPr>
        <xdr:cNvSpPr txBox="1"/>
      </xdr:nvSpPr>
      <xdr:spPr>
        <a:xfrm>
          <a:off x="33202880" y="1097280"/>
          <a:ext cx="868680" cy="475615"/>
        </a:xfrm>
        <a:prstGeom prst="rect">
          <a:avLst/>
        </a:prstGeom>
        <a:noFill/>
      </xdr:spPr>
      <xdr:txBody>
        <a:bodyPr wrap="square" rtlCol="0">
          <a:no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 （工商登记）</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（实际全盘操盘</a:t>
          </a:r>
          <a:r>
            <a:rPr lang="en-US" altLang="zh-CN" sz="600" dirty="0">
              <a:latin typeface="微软雅黑" panose="020B0503020204020204" charset="-122"/>
              <a:ea typeface="微软雅黑" panose="020B0503020204020204" charset="-122"/>
            </a:rPr>
            <a:t>100%</a:t>
          </a:r>
          <a:r>
            <a:rPr lang="zh-CN" altLang="en-US" sz="600" dirty="0">
              <a:latin typeface="微软雅黑" panose="020B0503020204020204" charset="-122"/>
              <a:ea typeface="微软雅黑" panose="020B0503020204020204" charset="-122"/>
            </a:rPr>
            <a:t>）</a:t>
          </a:r>
        </a:p>
      </xdr:txBody>
    </xdr:sp>
    <xdr:clientData/>
  </xdr:twoCellAnchor>
  <xdr:twoCellAnchor>
    <xdr:from>
      <xdr:col>41</xdr:col>
      <xdr:colOff>519114</xdr:colOff>
      <xdr:row>1</xdr:row>
      <xdr:rowOff>328609</xdr:rowOff>
    </xdr:from>
    <xdr:to>
      <xdr:col>42</xdr:col>
      <xdr:colOff>485776</xdr:colOff>
      <xdr:row>2</xdr:row>
      <xdr:rowOff>323849</xdr:rowOff>
    </xdr:to>
    <xdr:sp macro="" textlink="">
      <xdr:nvSpPr>
        <xdr:cNvPr id="143" name="圆角矩形 1">
          <a:extLst>
            <a:ext uri="{FF2B5EF4-FFF2-40B4-BE49-F238E27FC236}">
              <a16:creationId xmlns:a16="http://schemas.microsoft.com/office/drawing/2014/main" id="{00000000-0008-0000-0000-00008F000000}"/>
            </a:ext>
          </a:extLst>
        </xdr:cNvPr>
        <xdr:cNvSpPr/>
      </xdr:nvSpPr>
      <xdr:spPr>
        <a:xfrm>
          <a:off x="31501715" y="594995"/>
          <a:ext cx="642620" cy="32512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孙艳芳</a:t>
          </a:r>
        </a:p>
      </xdr:txBody>
    </xdr:sp>
    <xdr:clientData/>
  </xdr:twoCellAnchor>
  <xdr:twoCellAnchor>
    <xdr:from>
      <xdr:col>43</xdr:col>
      <xdr:colOff>327693</xdr:colOff>
      <xdr:row>2</xdr:row>
      <xdr:rowOff>42862</xdr:rowOff>
    </xdr:from>
    <xdr:to>
      <xdr:col>46</xdr:col>
      <xdr:colOff>590549</xdr:colOff>
      <xdr:row>6</xdr:row>
      <xdr:rowOff>85725</xdr:rowOff>
    </xdr:to>
    <xdr:grpSp>
      <xdr:nvGrpSpPr>
        <xdr:cNvPr id="153" name="组合 152">
          <a:extLst>
            <a:ext uri="{FF2B5EF4-FFF2-40B4-BE49-F238E27FC236}">
              <a16:creationId xmlns:a16="http://schemas.microsoft.com/office/drawing/2014/main" id="{00000000-0008-0000-0000-000099000000}"/>
            </a:ext>
          </a:extLst>
        </xdr:cNvPr>
        <xdr:cNvGrpSpPr/>
      </xdr:nvGrpSpPr>
      <xdr:grpSpPr>
        <a:xfrm>
          <a:off x="32691103" y="270933"/>
          <a:ext cx="2574256" cy="0"/>
          <a:chOff x="31469681" y="257175"/>
          <a:chExt cx="7100056" cy="1473517"/>
        </a:xfrm>
      </xdr:grpSpPr>
      <xdr:sp macro="" textlink="">
        <xdr:nvSpPr>
          <xdr:cNvPr id="134" name="圆角矩形 6">
            <a:extLst>
              <a:ext uri="{FF2B5EF4-FFF2-40B4-BE49-F238E27FC236}">
                <a16:creationId xmlns:a16="http://schemas.microsoft.com/office/drawing/2014/main" id="{00000000-0008-0000-0000-000086000000}"/>
              </a:ext>
            </a:extLst>
          </xdr:cNvPr>
          <xdr:cNvSpPr/>
        </xdr:nvSpPr>
        <xdr:spPr>
          <a:xfrm>
            <a:off x="33716823" y="1447223"/>
            <a:ext cx="2628197" cy="283469"/>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惠州市海景嘉福房地产开发有限公司</a:t>
            </a:r>
          </a:p>
          <a:p>
            <a:pPr algn="ctr"/>
            <a:r>
              <a:rPr lang="zh-CN" altLang="en-US" sz="500" dirty="0">
                <a:solidFill>
                  <a:schemeClr val="tx1"/>
                </a:solidFill>
                <a:latin typeface="微软雅黑" panose="020B0503020204020204" charset="-122"/>
                <a:ea typeface="微软雅黑" panose="020B0503020204020204" charset="-122"/>
              </a:rPr>
              <a:t>（海景嘉福）</a:t>
            </a:r>
          </a:p>
        </xdr:txBody>
      </xdr:sp>
      <xdr:sp macro="" textlink="">
        <xdr:nvSpPr>
          <xdr:cNvPr id="136" name="圆角矩形 1">
            <a:extLst>
              <a:ext uri="{FF2B5EF4-FFF2-40B4-BE49-F238E27FC236}">
                <a16:creationId xmlns:a16="http://schemas.microsoft.com/office/drawing/2014/main" id="{00000000-0008-0000-0000-000088000000}"/>
              </a:ext>
            </a:extLst>
          </xdr:cNvPr>
          <xdr:cNvSpPr/>
        </xdr:nvSpPr>
        <xdr:spPr>
          <a:xfrm>
            <a:off x="34016350" y="260004"/>
            <a:ext cx="1996722" cy="282903"/>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杨达红</a:t>
            </a:r>
          </a:p>
        </xdr:txBody>
      </xdr:sp>
      <xdr:cxnSp macro="">
        <xdr:nvCxnSpPr>
          <xdr:cNvPr id="139" name="肘形连接符 58">
            <a:extLst>
              <a:ext uri="{FF2B5EF4-FFF2-40B4-BE49-F238E27FC236}">
                <a16:creationId xmlns:a16="http://schemas.microsoft.com/office/drawing/2014/main" id="{00000000-0008-0000-0000-00008B000000}"/>
              </a:ext>
            </a:extLst>
          </xdr:cNvPr>
          <xdr:cNvCxnSpPr>
            <a:stCxn id="142" idx="2"/>
            <a:endCxn id="134" idx="0"/>
          </xdr:cNvCxnSpPr>
        </xdr:nvCxnSpPr>
        <xdr:spPr>
          <a:xfrm rot="5400000">
            <a:off x="35849840" y="-274313"/>
            <a:ext cx="902618" cy="2540454"/>
          </a:xfrm>
          <a:prstGeom prst="bentConnector3">
            <a:avLst>
              <a:gd name="adj1" fmla="val 50000"/>
            </a:avLst>
          </a:prstGeom>
          <a:ln>
            <a:prstDash val="sysDash"/>
          </a:ln>
        </xdr:spPr>
        <xdr:style>
          <a:lnRef idx="2">
            <a:schemeClr val="accent1"/>
          </a:lnRef>
          <a:fillRef idx="0">
            <a:srgbClr val="FFFFFF"/>
          </a:fillRef>
          <a:effectRef idx="0">
            <a:srgbClr val="FFFFFF"/>
          </a:effectRef>
          <a:fontRef idx="minor">
            <a:schemeClr val="tx1"/>
          </a:fontRef>
        </xdr:style>
      </xdr:cxnSp>
      <xdr:sp macro="" textlink="">
        <xdr:nvSpPr>
          <xdr:cNvPr id="141" name="圆角矩形 5">
            <a:extLst>
              <a:ext uri="{FF2B5EF4-FFF2-40B4-BE49-F238E27FC236}">
                <a16:creationId xmlns:a16="http://schemas.microsoft.com/office/drawing/2014/main" id="{00000000-0008-0000-0000-00008D000000}"/>
              </a:ext>
            </a:extLst>
          </xdr:cNvPr>
          <xdr:cNvSpPr/>
        </xdr:nvSpPr>
        <xdr:spPr>
          <a:xfrm>
            <a:off x="31469681" y="257175"/>
            <a:ext cx="2105882" cy="284035"/>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珠海横琴隽福项目投资合伙企业</a:t>
            </a:r>
          </a:p>
          <a:p>
            <a:pPr algn="ct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a:t>
            </a:r>
          </a:p>
        </xdr:txBody>
      </xdr:sp>
      <xdr:sp macro="" textlink="">
        <xdr:nvSpPr>
          <xdr:cNvPr id="142" name="圆角矩形 1">
            <a:extLst>
              <a:ext uri="{FF2B5EF4-FFF2-40B4-BE49-F238E27FC236}">
                <a16:creationId xmlns:a16="http://schemas.microsoft.com/office/drawing/2014/main" id="{00000000-0008-0000-0000-00008E000000}"/>
              </a:ext>
            </a:extLst>
          </xdr:cNvPr>
          <xdr:cNvSpPr/>
        </xdr:nvSpPr>
        <xdr:spPr>
          <a:xfrm>
            <a:off x="36573015" y="260570"/>
            <a:ext cx="1996722" cy="284035"/>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孙艳芳</a:t>
            </a:r>
          </a:p>
        </xdr:txBody>
      </xdr:sp>
      <xdr:cxnSp macro="">
        <xdr:nvCxnSpPr>
          <xdr:cNvPr id="152" name="连接符: 肘形 151">
            <a:extLst>
              <a:ext uri="{FF2B5EF4-FFF2-40B4-BE49-F238E27FC236}">
                <a16:creationId xmlns:a16="http://schemas.microsoft.com/office/drawing/2014/main" id="{00000000-0008-0000-0000-000098000000}"/>
              </a:ext>
            </a:extLst>
          </xdr:cNvPr>
          <xdr:cNvCxnSpPr/>
        </xdr:nvCxnSpPr>
        <xdr:spPr>
          <a:xfrm rot="16200000" flipH="1">
            <a:off x="33301240" y="-287223"/>
            <a:ext cx="906013" cy="2562878"/>
          </a:xfrm>
          <a:prstGeom prst="bentConnector3">
            <a:avLst/>
          </a:prstGeom>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25</xdr:col>
      <xdr:colOff>119699</xdr:colOff>
      <xdr:row>2</xdr:row>
      <xdr:rowOff>652461</xdr:rowOff>
    </xdr:from>
    <xdr:to>
      <xdr:col>26</xdr:col>
      <xdr:colOff>304800</xdr:colOff>
      <xdr:row>3</xdr:row>
      <xdr:rowOff>33336</xdr:rowOff>
    </xdr:to>
    <xdr:sp macro="" textlink="">
      <xdr:nvSpPr>
        <xdr:cNvPr id="15" name="圆角矩形 1">
          <a:extLst>
            <a:ext uri="{FF2B5EF4-FFF2-40B4-BE49-F238E27FC236}">
              <a16:creationId xmlns:a16="http://schemas.microsoft.com/office/drawing/2014/main" id="{00000000-0008-0000-0000-00000F000000}"/>
            </a:ext>
          </a:extLst>
        </xdr:cNvPr>
        <xdr:cNvSpPr/>
      </xdr:nvSpPr>
      <xdr:spPr>
        <a:xfrm>
          <a:off x="16776700" y="1249045"/>
          <a:ext cx="1069340" cy="238125"/>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惠州市合景经济信息咨询有限公司</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735965</xdr:colOff>
      <xdr:row>2</xdr:row>
      <xdr:rowOff>650240</xdr:rowOff>
    </xdr:from>
    <xdr:to>
      <xdr:col>5</xdr:col>
      <xdr:colOff>338455</xdr:colOff>
      <xdr:row>3</xdr:row>
      <xdr:rowOff>89535</xdr:rowOff>
    </xdr:to>
    <xdr:sp macro="" textlink="">
      <xdr:nvSpPr>
        <xdr:cNvPr id="2" name="文本框 1">
          <a:extLst>
            <a:ext uri="{FF2B5EF4-FFF2-40B4-BE49-F238E27FC236}">
              <a16:creationId xmlns:a16="http://schemas.microsoft.com/office/drawing/2014/main" id="{00000000-0008-0000-0100-000002000000}"/>
            </a:ext>
          </a:extLst>
        </xdr:cNvPr>
        <xdr:cNvSpPr txBox="1"/>
      </xdr:nvSpPr>
      <xdr:spPr>
        <a:xfrm>
          <a:off x="3082925" y="1247140"/>
          <a:ext cx="532130" cy="296545"/>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49%</a:t>
          </a:r>
        </a:p>
      </xdr:txBody>
    </xdr:sp>
    <xdr:clientData/>
  </xdr:twoCellAnchor>
  <xdr:twoCellAnchor>
    <xdr:from>
      <xdr:col>8</xdr:col>
      <xdr:colOff>88265</xdr:colOff>
      <xdr:row>1</xdr:row>
      <xdr:rowOff>69215</xdr:rowOff>
    </xdr:from>
    <xdr:to>
      <xdr:col>10</xdr:col>
      <xdr:colOff>863600</xdr:colOff>
      <xdr:row>7</xdr:row>
      <xdr:rowOff>53975</xdr:rowOff>
    </xdr:to>
    <xdr:grpSp>
      <xdr:nvGrpSpPr>
        <xdr:cNvPr id="3" name="组合 2">
          <a:extLst>
            <a:ext uri="{FF2B5EF4-FFF2-40B4-BE49-F238E27FC236}">
              <a16:creationId xmlns:a16="http://schemas.microsoft.com/office/drawing/2014/main" id="{00000000-0008-0000-0100-000003000000}"/>
            </a:ext>
          </a:extLst>
        </xdr:cNvPr>
        <xdr:cNvGrpSpPr/>
      </xdr:nvGrpSpPr>
      <xdr:grpSpPr>
        <a:xfrm>
          <a:off x="5130800" y="337820"/>
          <a:ext cx="2105025" cy="1975485"/>
          <a:chOff x="8289" y="5783"/>
          <a:chExt cx="5708" cy="2807"/>
        </a:xfrm>
      </xdr:grpSpPr>
      <xdr:sp macro="" textlink="">
        <xdr:nvSpPr>
          <xdr:cNvPr id="4" name="圆角矩形 5">
            <a:extLst>
              <a:ext uri="{FF2B5EF4-FFF2-40B4-BE49-F238E27FC236}">
                <a16:creationId xmlns:a16="http://schemas.microsoft.com/office/drawing/2014/main" id="{00000000-0008-0000-0100-000004000000}"/>
              </a:ext>
            </a:extLst>
          </xdr:cNvPr>
          <xdr:cNvSpPr/>
        </xdr:nvSpPr>
        <xdr:spPr>
          <a:xfrm>
            <a:off x="9639" y="6436"/>
            <a:ext cx="4358" cy="602"/>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张永明</a:t>
            </a:r>
            <a:endParaRPr lang="en-US" altLang="zh-CN" sz="600" b="1" dirty="0">
              <a:solidFill>
                <a:schemeClr val="tx1"/>
              </a:solidFill>
              <a:latin typeface="微软雅黑" panose="020B0503020204020204" charset="-122"/>
              <a:ea typeface="微软雅黑" panose="020B0503020204020204" charset="-122"/>
            </a:endParaRPr>
          </a:p>
          <a:p>
            <a:pPr algn="ctr"/>
            <a:r>
              <a:rPr lang="zh-CN" altLang="en-US" sz="600" b="1" dirty="0">
                <a:solidFill>
                  <a:schemeClr val="tx1"/>
                </a:solidFill>
                <a:latin typeface="微软雅黑" panose="020B0503020204020204" charset="-122"/>
                <a:ea typeface="微软雅黑" panose="020B0503020204020204" charset="-122"/>
              </a:rPr>
              <a:t>张志华</a:t>
            </a:r>
          </a:p>
          <a:p>
            <a:pPr algn="ctr"/>
            <a:r>
              <a:rPr lang="zh-CN" altLang="en-US" sz="600" b="1" dirty="0">
                <a:solidFill>
                  <a:schemeClr val="tx1"/>
                </a:solidFill>
                <a:latin typeface="微软雅黑" panose="020B0503020204020204" charset="-122"/>
                <a:ea typeface="微软雅黑" panose="020B0503020204020204" charset="-122"/>
              </a:rPr>
              <a:t>张实明</a:t>
            </a:r>
          </a:p>
        </xdr:txBody>
      </xdr:sp>
      <xdr:sp macro="" textlink="">
        <xdr:nvSpPr>
          <xdr:cNvPr id="5" name="圆角矩形 6">
            <a:extLst>
              <a:ext uri="{FF2B5EF4-FFF2-40B4-BE49-F238E27FC236}">
                <a16:creationId xmlns:a16="http://schemas.microsoft.com/office/drawing/2014/main" id="{00000000-0008-0000-0100-000005000000}"/>
              </a:ext>
            </a:extLst>
          </xdr:cNvPr>
          <xdr:cNvSpPr/>
        </xdr:nvSpPr>
        <xdr:spPr>
          <a:xfrm>
            <a:off x="9639" y="7988"/>
            <a:ext cx="4358" cy="602"/>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广东永华控股集团有限公司</a:t>
            </a:r>
            <a:endParaRPr lang="en-US" altLang="zh-CN" sz="600" b="1" dirty="0">
              <a:solidFill>
                <a:schemeClr val="tx1"/>
              </a:solidFill>
              <a:latin typeface="微软雅黑" panose="020B0503020204020204" charset="-122"/>
              <a:ea typeface="微软雅黑" panose="020B0503020204020204" charset="-122"/>
            </a:endParaRPr>
          </a:p>
          <a:p>
            <a:pPr algn="ctr"/>
            <a:r>
              <a:rPr lang="zh-CN" altLang="en-US" sz="600" dirty="0">
                <a:solidFill>
                  <a:schemeClr val="tx1"/>
                </a:solidFill>
                <a:latin typeface="微软雅黑" panose="020B0503020204020204" charset="-122"/>
                <a:ea typeface="微软雅黑" panose="020B0503020204020204" charset="-122"/>
              </a:rPr>
              <a:t>（永华工业园）</a:t>
            </a:r>
          </a:p>
        </xdr:txBody>
      </xdr:sp>
      <xdr:sp macro="" textlink="">
        <xdr:nvSpPr>
          <xdr:cNvPr id="6" name="文本框 5">
            <a:extLst>
              <a:ext uri="{FF2B5EF4-FFF2-40B4-BE49-F238E27FC236}">
                <a16:creationId xmlns:a16="http://schemas.microsoft.com/office/drawing/2014/main" id="{00000000-0008-0000-0100-000006000000}"/>
              </a:ext>
            </a:extLst>
          </xdr:cNvPr>
          <xdr:cNvSpPr txBox="1"/>
        </xdr:nvSpPr>
        <xdr:spPr>
          <a:xfrm>
            <a:off x="10910" y="7322"/>
            <a:ext cx="1495" cy="426"/>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100%</a:t>
            </a:r>
          </a:p>
        </xdr:txBody>
      </xdr:sp>
      <xdr:cxnSp macro="">
        <xdr:nvCxnSpPr>
          <xdr:cNvPr id="7" name="直接连接符 6">
            <a:extLst>
              <a:ext uri="{FF2B5EF4-FFF2-40B4-BE49-F238E27FC236}">
                <a16:creationId xmlns:a16="http://schemas.microsoft.com/office/drawing/2014/main" id="{00000000-0008-0000-0100-000007000000}"/>
              </a:ext>
            </a:extLst>
          </xdr:cNvPr>
          <xdr:cNvCxnSpPr>
            <a:stCxn id="4" idx="2"/>
            <a:endCxn id="5" idx="0"/>
          </xdr:cNvCxnSpPr>
        </xdr:nvCxnSpPr>
        <xdr:spPr>
          <a:xfrm>
            <a:off x="11819" y="7038"/>
            <a:ext cx="0" cy="950"/>
          </a:xfrm>
          <a:prstGeom prst="line">
            <a:avLst/>
          </a:prstGeom>
        </xdr:spPr>
        <xdr:style>
          <a:lnRef idx="1">
            <a:schemeClr val="accent1"/>
          </a:lnRef>
          <a:fillRef idx="0">
            <a:schemeClr val="accent1"/>
          </a:fillRef>
          <a:effectRef idx="0">
            <a:schemeClr val="accent1"/>
          </a:effectRef>
          <a:fontRef idx="minor">
            <a:schemeClr val="tx1"/>
          </a:fontRef>
        </xdr:style>
      </xdr:cxnSp>
      <xdr:sp macro="" textlink="">
        <xdr:nvSpPr>
          <xdr:cNvPr id="8" name="文本框 7">
            <a:extLst>
              <a:ext uri="{FF2B5EF4-FFF2-40B4-BE49-F238E27FC236}">
                <a16:creationId xmlns:a16="http://schemas.microsoft.com/office/drawing/2014/main" id="{00000000-0008-0000-0100-000008000000}"/>
              </a:ext>
            </a:extLst>
          </xdr:cNvPr>
          <xdr:cNvSpPr txBox="1"/>
        </xdr:nvSpPr>
        <xdr:spPr>
          <a:xfrm>
            <a:off x="8289" y="5783"/>
            <a:ext cx="4385" cy="341"/>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800" b="1" dirty="0">
                <a:solidFill>
                  <a:srgbClr val="C00000"/>
                </a:solidFill>
                <a:latin typeface="微软雅黑" panose="020B0503020204020204" charset="-122"/>
                <a:ea typeface="微软雅黑" panose="020B0503020204020204" charset="-122"/>
              </a:rPr>
              <a:t>现状：我司已退出</a:t>
            </a:r>
          </a:p>
        </xdr:txBody>
      </xdr:sp>
    </xdr:grpSp>
    <xdr:clientData/>
  </xdr:twoCellAnchor>
  <xdr:twoCellAnchor editAs="oneCell">
    <xdr:from>
      <xdr:col>1</xdr:col>
      <xdr:colOff>6350</xdr:colOff>
      <xdr:row>24</xdr:row>
      <xdr:rowOff>190500</xdr:rowOff>
    </xdr:from>
    <xdr:to>
      <xdr:col>11</xdr:col>
      <xdr:colOff>102235</xdr:colOff>
      <xdr:row>26</xdr:row>
      <xdr:rowOff>842010</xdr:rowOff>
    </xdr:to>
    <xdr:pic>
      <xdr:nvPicPr>
        <xdr:cNvPr id="9" name="图片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1"/>
        <a:stretch>
          <a:fillRect/>
        </a:stretch>
      </xdr:blipFill>
      <xdr:spPr>
        <a:xfrm>
          <a:off x="356870" y="8392795"/>
          <a:ext cx="7415530" cy="1160145"/>
        </a:xfrm>
        <a:prstGeom prst="rect">
          <a:avLst/>
        </a:prstGeom>
        <a:noFill/>
        <a:ln w="9525">
          <a:noFill/>
        </a:ln>
      </xdr:spPr>
    </xdr:pic>
    <xdr:clientData/>
  </xdr:twoCellAnchor>
  <xdr:twoCellAnchor editAs="oneCell">
    <xdr:from>
      <xdr:col>24</xdr:col>
      <xdr:colOff>6350</xdr:colOff>
      <xdr:row>27</xdr:row>
      <xdr:rowOff>38100</xdr:rowOff>
    </xdr:from>
    <xdr:to>
      <xdr:col>33</xdr:col>
      <xdr:colOff>80010</xdr:colOff>
      <xdr:row>32</xdr:row>
      <xdr:rowOff>39370</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2"/>
        <a:stretch>
          <a:fillRect/>
        </a:stretch>
      </xdr:blipFill>
      <xdr:spPr>
        <a:xfrm>
          <a:off x="16374110" y="9826625"/>
          <a:ext cx="6904990" cy="1058545"/>
        </a:xfrm>
        <a:prstGeom prst="rect">
          <a:avLst/>
        </a:prstGeom>
        <a:noFill/>
        <a:ln w="9525">
          <a:noFill/>
        </a:ln>
      </xdr:spPr>
    </xdr:pic>
    <xdr:clientData/>
  </xdr:twoCellAnchor>
  <xdr:twoCellAnchor>
    <xdr:from>
      <xdr:col>14</xdr:col>
      <xdr:colOff>413631</xdr:colOff>
      <xdr:row>4</xdr:row>
      <xdr:rowOff>19929</xdr:rowOff>
    </xdr:from>
    <xdr:to>
      <xdr:col>15</xdr:col>
      <xdr:colOff>438425</xdr:colOff>
      <xdr:row>6</xdr:row>
      <xdr:rowOff>59937</xdr:rowOff>
    </xdr:to>
    <xdr:cxnSp macro="">
      <xdr:nvCxnSpPr>
        <xdr:cNvPr id="11" name="肘形连接符 10">
          <a:extLst>
            <a:ext uri="{FF2B5EF4-FFF2-40B4-BE49-F238E27FC236}">
              <a16:creationId xmlns:a16="http://schemas.microsoft.com/office/drawing/2014/main" id="{00000000-0008-0000-0100-00000B000000}"/>
            </a:ext>
          </a:extLst>
        </xdr:cNvPr>
        <xdr:cNvCxnSpPr>
          <a:stCxn id="50" idx="2"/>
          <a:endCxn id="53" idx="0"/>
        </xdr:cNvCxnSpPr>
      </xdr:nvCxnSpPr>
      <xdr:spPr>
        <a:xfrm rot="16200000" flipH="1">
          <a:off x="9565005" y="1410970"/>
          <a:ext cx="415290" cy="959485"/>
        </a:xfrm>
        <a:prstGeom prst="bentConnector3">
          <a:avLst>
            <a:gd name="adj1" fmla="val 50000"/>
          </a:avLst>
        </a:prstGeom>
        <a:ln w="12700" cap="flat" cmpd="sng" algn="ctr">
          <a:solidFill>
            <a:schemeClr val="accent1"/>
          </a:solidFill>
          <a:prstDash val="dash"/>
          <a:miter lim="800000"/>
        </a:ln>
      </xdr:spPr>
      <xdr:style>
        <a:lnRef idx="0">
          <a:schemeClr val="accent1"/>
        </a:lnRef>
        <a:fillRef idx="0">
          <a:srgbClr val="FFFFFF"/>
        </a:fillRef>
        <a:effectRef idx="0">
          <a:srgbClr val="FFFFFF"/>
        </a:effectRef>
        <a:fontRef idx="minor">
          <a:schemeClr val="tx1"/>
        </a:fontRef>
      </xdr:style>
    </xdr:cxnSp>
    <xdr:clientData/>
  </xdr:twoCellAnchor>
  <xdr:twoCellAnchor>
    <xdr:from>
      <xdr:col>15</xdr:col>
      <xdr:colOff>438425</xdr:colOff>
      <xdr:row>4</xdr:row>
      <xdr:rowOff>22995</xdr:rowOff>
    </xdr:from>
    <xdr:to>
      <xdr:col>17</xdr:col>
      <xdr:colOff>394004</xdr:colOff>
      <xdr:row>6</xdr:row>
      <xdr:rowOff>59937</xdr:rowOff>
    </xdr:to>
    <xdr:cxnSp macro="">
      <xdr:nvCxnSpPr>
        <xdr:cNvPr id="12" name="肘形连接符 11">
          <a:extLst>
            <a:ext uri="{FF2B5EF4-FFF2-40B4-BE49-F238E27FC236}">
              <a16:creationId xmlns:a16="http://schemas.microsoft.com/office/drawing/2014/main" id="{00000000-0008-0000-0100-00000C000000}"/>
            </a:ext>
          </a:extLst>
        </xdr:cNvPr>
        <xdr:cNvCxnSpPr>
          <a:stCxn id="52" idx="2"/>
          <a:endCxn id="53" idx="0"/>
        </xdr:cNvCxnSpPr>
      </xdr:nvCxnSpPr>
      <xdr:spPr>
        <a:xfrm rot="5400000">
          <a:off x="10646410" y="1292225"/>
          <a:ext cx="412750" cy="1200150"/>
        </a:xfrm>
        <a:prstGeom prst="bentConnector3">
          <a:avLst>
            <a:gd name="adj1" fmla="val 50000"/>
          </a:avLst>
        </a:prstGeom>
        <a:ln w="12700" cap="flat" cmpd="sng" algn="ctr">
          <a:solidFill>
            <a:schemeClr val="accent1"/>
          </a:solidFill>
          <a:prstDash val="dash"/>
          <a:miter lim="800000"/>
        </a:ln>
      </xdr:spPr>
      <xdr:style>
        <a:lnRef idx="0">
          <a:schemeClr val="accent1"/>
        </a:lnRef>
        <a:fillRef idx="0">
          <a:srgbClr val="FFFFFF"/>
        </a:fillRef>
        <a:effectRef idx="0">
          <a:srgbClr val="FFFFFF"/>
        </a:effectRef>
        <a:fontRef idx="minor">
          <a:schemeClr val="tx1"/>
        </a:fontRef>
      </xdr:style>
    </xdr:cxnSp>
    <xdr:clientData/>
  </xdr:twoCellAnchor>
  <xdr:twoCellAnchor>
    <xdr:from>
      <xdr:col>17</xdr:col>
      <xdr:colOff>445135</xdr:colOff>
      <xdr:row>2</xdr:row>
      <xdr:rowOff>34925</xdr:rowOff>
    </xdr:from>
    <xdr:to>
      <xdr:col>17</xdr:col>
      <xdr:colOff>920115</xdr:colOff>
      <xdr:row>2</xdr:row>
      <xdr:rowOff>225425</xdr:rowOff>
    </xdr:to>
    <xdr:sp macro="" textlink="">
      <xdr:nvSpPr>
        <xdr:cNvPr id="13" name="文本框 12">
          <a:extLst>
            <a:ext uri="{FF2B5EF4-FFF2-40B4-BE49-F238E27FC236}">
              <a16:creationId xmlns:a16="http://schemas.microsoft.com/office/drawing/2014/main" id="{00000000-0008-0000-0100-00000D000000}"/>
            </a:ext>
          </a:extLst>
        </xdr:cNvPr>
        <xdr:cNvSpPr txBox="1"/>
      </xdr:nvSpPr>
      <xdr:spPr>
        <a:xfrm>
          <a:off x="11504295" y="631825"/>
          <a:ext cx="474980" cy="190500"/>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sz="600" dirty="0">
              <a:latin typeface="微软雅黑" panose="020B0503020204020204" charset="-122"/>
              <a:ea typeface="微软雅黑" panose="020B0503020204020204" charset="-122"/>
            </a:rPr>
            <a:t>100%</a:t>
          </a:r>
          <a:endParaRPr lang="en-US" altLang="en-US" sz="600" dirty="0">
            <a:latin typeface="微软雅黑" panose="020B0503020204020204" charset="-122"/>
            <a:ea typeface="微软雅黑" panose="020B0503020204020204" charset="-122"/>
          </a:endParaRPr>
        </a:p>
      </xdr:txBody>
    </xdr:sp>
    <xdr:clientData/>
  </xdr:twoCellAnchor>
  <xdr:twoCellAnchor>
    <xdr:from>
      <xdr:col>17</xdr:col>
      <xdr:colOff>424815</xdr:colOff>
      <xdr:row>2</xdr:row>
      <xdr:rowOff>498475</xdr:rowOff>
    </xdr:from>
    <xdr:to>
      <xdr:col>17</xdr:col>
      <xdr:colOff>875030</xdr:colOff>
      <xdr:row>2</xdr:row>
      <xdr:rowOff>688975</xdr:rowOff>
    </xdr:to>
    <xdr:sp macro="" textlink="">
      <xdr:nvSpPr>
        <xdr:cNvPr id="14" name="文本框 13">
          <a:extLst>
            <a:ext uri="{FF2B5EF4-FFF2-40B4-BE49-F238E27FC236}">
              <a16:creationId xmlns:a16="http://schemas.microsoft.com/office/drawing/2014/main" id="{00000000-0008-0000-0100-00000E000000}"/>
            </a:ext>
          </a:extLst>
        </xdr:cNvPr>
        <xdr:cNvSpPr txBox="1"/>
      </xdr:nvSpPr>
      <xdr:spPr>
        <a:xfrm>
          <a:off x="11483975" y="1095375"/>
          <a:ext cx="450215" cy="190500"/>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sz="600" dirty="0">
              <a:latin typeface="微软雅黑" panose="020B0503020204020204" charset="-122"/>
              <a:ea typeface="微软雅黑" panose="020B0503020204020204" charset="-122"/>
            </a:rPr>
            <a:t>100%</a:t>
          </a:r>
          <a:endParaRPr lang="en-US" altLang="en-US" sz="600" dirty="0">
            <a:latin typeface="微软雅黑" panose="020B0503020204020204" charset="-122"/>
            <a:ea typeface="微软雅黑" panose="020B0503020204020204" charset="-122"/>
          </a:endParaRPr>
        </a:p>
      </xdr:txBody>
    </xdr:sp>
    <xdr:clientData/>
  </xdr:twoCellAnchor>
  <xdr:twoCellAnchor editAs="oneCell">
    <xdr:from>
      <xdr:col>23</xdr:col>
      <xdr:colOff>467360</xdr:colOff>
      <xdr:row>41</xdr:row>
      <xdr:rowOff>177800</xdr:rowOff>
    </xdr:from>
    <xdr:to>
      <xdr:col>32</xdr:col>
      <xdr:colOff>441325</xdr:colOff>
      <xdr:row>53</xdr:row>
      <xdr:rowOff>67310</xdr:rowOff>
    </xdr:to>
    <xdr:pic>
      <xdr:nvPicPr>
        <xdr:cNvPr id="15" name="图片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3"/>
        <a:stretch>
          <a:fillRect/>
        </a:stretch>
      </xdr:blipFill>
      <xdr:spPr>
        <a:xfrm>
          <a:off x="16367760" y="12909550"/>
          <a:ext cx="6575425" cy="2400300"/>
        </a:xfrm>
        <a:prstGeom prst="rect">
          <a:avLst/>
        </a:prstGeom>
        <a:noFill/>
        <a:ln w="9525">
          <a:noFill/>
        </a:ln>
      </xdr:spPr>
    </xdr:pic>
    <xdr:clientData/>
  </xdr:twoCellAnchor>
  <xdr:twoCellAnchor>
    <xdr:from>
      <xdr:col>1</xdr:col>
      <xdr:colOff>51435</xdr:colOff>
      <xdr:row>1</xdr:row>
      <xdr:rowOff>43815</xdr:rowOff>
    </xdr:from>
    <xdr:to>
      <xdr:col>6</xdr:col>
      <xdr:colOff>605790</xdr:colOff>
      <xdr:row>7</xdr:row>
      <xdr:rowOff>62865</xdr:rowOff>
    </xdr:to>
    <xdr:grpSp>
      <xdr:nvGrpSpPr>
        <xdr:cNvPr id="16" name="组合 15">
          <a:extLst>
            <a:ext uri="{FF2B5EF4-FFF2-40B4-BE49-F238E27FC236}">
              <a16:creationId xmlns:a16="http://schemas.microsoft.com/office/drawing/2014/main" id="{00000000-0008-0000-0100-000010000000}"/>
            </a:ext>
          </a:extLst>
        </xdr:cNvPr>
        <xdr:cNvGrpSpPr/>
      </xdr:nvGrpSpPr>
      <xdr:grpSpPr>
        <a:xfrm>
          <a:off x="400050" y="308610"/>
          <a:ext cx="3924300" cy="2011680"/>
          <a:chOff x="581" y="459"/>
          <a:chExt cx="5713" cy="2960"/>
        </a:xfrm>
      </xdr:grpSpPr>
      <xdr:sp macro="" textlink="">
        <xdr:nvSpPr>
          <xdr:cNvPr id="17" name="文本框 16">
            <a:extLst>
              <a:ext uri="{FF2B5EF4-FFF2-40B4-BE49-F238E27FC236}">
                <a16:creationId xmlns:a16="http://schemas.microsoft.com/office/drawing/2014/main" id="{00000000-0008-0000-0100-000011000000}"/>
              </a:ext>
            </a:extLst>
          </xdr:cNvPr>
          <xdr:cNvSpPr txBox="1"/>
        </xdr:nvSpPr>
        <xdr:spPr>
          <a:xfrm>
            <a:off x="630" y="459"/>
            <a:ext cx="2328" cy="353"/>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800" b="1" dirty="0">
                <a:solidFill>
                  <a:srgbClr val="C00000"/>
                </a:solidFill>
                <a:latin typeface="微软雅黑" panose="020B0503020204020204" charset="-122"/>
                <a:ea typeface="微软雅黑" panose="020B0503020204020204" charset="-122"/>
              </a:rPr>
              <a:t>2021</a:t>
            </a:r>
            <a:r>
              <a:rPr lang="zh-CN" altLang="en-US" sz="800" b="1" dirty="0">
                <a:solidFill>
                  <a:srgbClr val="C00000"/>
                </a:solidFill>
                <a:latin typeface="微软雅黑" panose="020B0503020204020204" charset="-122"/>
                <a:ea typeface="微软雅黑" panose="020B0503020204020204" charset="-122"/>
              </a:rPr>
              <a:t>年</a:t>
            </a:r>
            <a:r>
              <a:rPr lang="en-US" altLang="zh-CN" sz="800" b="1" dirty="0">
                <a:solidFill>
                  <a:srgbClr val="C00000"/>
                </a:solidFill>
                <a:latin typeface="微软雅黑" panose="020B0503020204020204" charset="-122"/>
                <a:ea typeface="微软雅黑" panose="020B0503020204020204" charset="-122"/>
              </a:rPr>
              <a:t>2</a:t>
            </a:r>
            <a:r>
              <a:rPr lang="zh-CN" altLang="en-US" sz="800" b="1" dirty="0">
                <a:solidFill>
                  <a:srgbClr val="C00000"/>
                </a:solidFill>
                <a:latin typeface="微软雅黑" panose="020B0503020204020204" charset="-122"/>
                <a:ea typeface="微软雅黑" panose="020B0503020204020204" charset="-122"/>
              </a:rPr>
              <a:t>月进入时</a:t>
            </a:r>
          </a:p>
        </xdr:txBody>
      </xdr:sp>
      <xdr:sp macro="" textlink="">
        <xdr:nvSpPr>
          <xdr:cNvPr id="18" name="圆角矩形 1">
            <a:extLst>
              <a:ext uri="{FF2B5EF4-FFF2-40B4-BE49-F238E27FC236}">
                <a16:creationId xmlns:a16="http://schemas.microsoft.com/office/drawing/2014/main" id="{00000000-0008-0000-0100-000012000000}"/>
              </a:ext>
            </a:extLst>
          </xdr:cNvPr>
          <xdr:cNvSpPr/>
        </xdr:nvSpPr>
        <xdr:spPr>
          <a:xfrm>
            <a:off x="581" y="843"/>
            <a:ext cx="2559" cy="976"/>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广州鼎弘投资运营有限公司</a:t>
            </a:r>
            <a:endParaRPr lang="en-US" altLang="zh-CN" sz="600" b="1" dirty="0">
              <a:solidFill>
                <a:schemeClr val="bg1"/>
              </a:solidFill>
              <a:latin typeface="微软雅黑" panose="020B0503020204020204" charset="-122"/>
              <a:ea typeface="微软雅黑" panose="020B0503020204020204" charset="-122"/>
            </a:endParaRPr>
          </a:p>
          <a:p>
            <a:pPr algn="ctr"/>
            <a:r>
              <a:rPr lang="zh-CN" altLang="en-US" sz="600" b="1" dirty="0">
                <a:solidFill>
                  <a:schemeClr val="bg1"/>
                </a:solidFill>
                <a:latin typeface="微软雅黑" panose="020B0503020204020204" charset="-122"/>
                <a:ea typeface="微软雅黑" panose="020B0503020204020204" charset="-122"/>
              </a:rPr>
              <a:t>广州博鸣企业管理合伙企业</a:t>
            </a:r>
            <a:r>
              <a:rPr lang="en-US" altLang="zh-CN" sz="600" b="1" dirty="0">
                <a:solidFill>
                  <a:schemeClr val="bg1"/>
                </a:solidFill>
                <a:latin typeface="微软雅黑" panose="020B0503020204020204" charset="-122"/>
                <a:ea typeface="微软雅黑" panose="020B0503020204020204" charset="-122"/>
              </a:rPr>
              <a:t>Y</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HK754</a:t>
            </a:r>
          </a:p>
        </xdr:txBody>
      </xdr:sp>
      <xdr:sp macro="" textlink="">
        <xdr:nvSpPr>
          <xdr:cNvPr id="19" name="圆角矩形 5">
            <a:extLst>
              <a:ext uri="{FF2B5EF4-FFF2-40B4-BE49-F238E27FC236}">
                <a16:creationId xmlns:a16="http://schemas.microsoft.com/office/drawing/2014/main" id="{00000000-0008-0000-0100-000013000000}"/>
              </a:ext>
            </a:extLst>
          </xdr:cNvPr>
          <xdr:cNvSpPr/>
        </xdr:nvSpPr>
        <xdr:spPr>
          <a:xfrm>
            <a:off x="3895" y="1195"/>
            <a:ext cx="2399" cy="624"/>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张永明</a:t>
            </a:r>
            <a:endParaRPr lang="en-US" altLang="zh-CN" sz="600" b="1" dirty="0">
              <a:solidFill>
                <a:schemeClr val="tx1"/>
              </a:solidFill>
              <a:latin typeface="微软雅黑" panose="020B0503020204020204" charset="-122"/>
              <a:ea typeface="微软雅黑" panose="020B0503020204020204" charset="-122"/>
            </a:endParaRPr>
          </a:p>
          <a:p>
            <a:pPr algn="ctr"/>
            <a:r>
              <a:rPr lang="zh-CN" altLang="en-US" sz="600" b="1" dirty="0">
                <a:solidFill>
                  <a:schemeClr val="tx1"/>
                </a:solidFill>
                <a:latin typeface="微软雅黑" panose="020B0503020204020204" charset="-122"/>
                <a:ea typeface="微软雅黑" panose="020B0503020204020204" charset="-122"/>
              </a:rPr>
              <a:t>张志华</a:t>
            </a:r>
          </a:p>
          <a:p>
            <a:pPr algn="ctr"/>
            <a:r>
              <a:rPr lang="zh-CN" altLang="en-US" sz="600" b="1" dirty="0">
                <a:solidFill>
                  <a:schemeClr val="tx1"/>
                </a:solidFill>
                <a:latin typeface="微软雅黑" panose="020B0503020204020204" charset="-122"/>
                <a:ea typeface="微软雅黑" panose="020B0503020204020204" charset="-122"/>
              </a:rPr>
              <a:t>张实明</a:t>
            </a:r>
          </a:p>
        </xdr:txBody>
      </xdr:sp>
      <xdr:sp macro="" textlink="">
        <xdr:nvSpPr>
          <xdr:cNvPr id="20" name="圆角矩形 6">
            <a:extLst>
              <a:ext uri="{FF2B5EF4-FFF2-40B4-BE49-F238E27FC236}">
                <a16:creationId xmlns:a16="http://schemas.microsoft.com/office/drawing/2014/main" id="{00000000-0008-0000-0100-000014000000}"/>
              </a:ext>
            </a:extLst>
          </xdr:cNvPr>
          <xdr:cNvSpPr/>
        </xdr:nvSpPr>
        <xdr:spPr>
          <a:xfrm>
            <a:off x="2254" y="2795"/>
            <a:ext cx="2319" cy="624"/>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广东永华控股集团有限公司</a:t>
            </a:r>
            <a:endParaRPr lang="en-US" altLang="zh-CN" sz="600" b="1" dirty="0">
              <a:solidFill>
                <a:schemeClr val="tx1"/>
              </a:solidFill>
              <a:latin typeface="微软雅黑" panose="020B0503020204020204" charset="-122"/>
              <a:ea typeface="微软雅黑" panose="020B0503020204020204" charset="-122"/>
            </a:endParaRPr>
          </a:p>
          <a:p>
            <a:pPr algn="ctr"/>
            <a:r>
              <a:rPr lang="zh-CN" altLang="en-US" sz="600" dirty="0">
                <a:solidFill>
                  <a:schemeClr val="tx1"/>
                </a:solidFill>
                <a:latin typeface="微软雅黑" panose="020B0503020204020204" charset="-122"/>
                <a:ea typeface="微软雅黑" panose="020B0503020204020204" charset="-122"/>
              </a:rPr>
              <a:t>（永华工业园）</a:t>
            </a:r>
          </a:p>
        </xdr:txBody>
      </xdr:sp>
      <xdr:cxnSp macro="">
        <xdr:nvCxnSpPr>
          <xdr:cNvPr id="21" name="连接符: 肘形 77">
            <a:extLst>
              <a:ext uri="{FF2B5EF4-FFF2-40B4-BE49-F238E27FC236}">
                <a16:creationId xmlns:a16="http://schemas.microsoft.com/office/drawing/2014/main" id="{00000000-0008-0000-0100-000015000000}"/>
              </a:ext>
            </a:extLst>
          </xdr:cNvPr>
          <xdr:cNvCxnSpPr>
            <a:stCxn id="18" idx="2"/>
            <a:endCxn id="20" idx="0"/>
          </xdr:cNvCxnSpPr>
        </xdr:nvCxnSpPr>
        <xdr:spPr>
          <a:xfrm rot="16200000" flipH="1">
            <a:off x="2149" y="1531"/>
            <a:ext cx="976" cy="1553"/>
          </a:xfrm>
          <a:prstGeom prst="bentConnector3">
            <a:avLst>
              <a:gd name="adj1" fmla="val 50000"/>
            </a:avLst>
          </a:prstGeom>
        </xdr:spPr>
        <xdr:style>
          <a:lnRef idx="1">
            <a:schemeClr val="accent1"/>
          </a:lnRef>
          <a:fillRef idx="0">
            <a:schemeClr val="accent1"/>
          </a:fillRef>
          <a:effectRef idx="0">
            <a:schemeClr val="accent1"/>
          </a:effectRef>
          <a:fontRef idx="minor">
            <a:schemeClr val="tx1"/>
          </a:fontRef>
        </xdr:style>
      </xdr:cxnSp>
      <xdr:sp macro="" textlink="">
        <xdr:nvSpPr>
          <xdr:cNvPr id="22" name="文本框 21">
            <a:extLst>
              <a:ext uri="{FF2B5EF4-FFF2-40B4-BE49-F238E27FC236}">
                <a16:creationId xmlns:a16="http://schemas.microsoft.com/office/drawing/2014/main" id="{00000000-0008-0000-0100-000016000000}"/>
              </a:ext>
            </a:extLst>
          </xdr:cNvPr>
          <xdr:cNvSpPr txBox="1"/>
        </xdr:nvSpPr>
        <xdr:spPr>
          <a:xfrm>
            <a:off x="1750" y="1943"/>
            <a:ext cx="1762" cy="287"/>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 （实际收益权</a:t>
            </a:r>
            <a:r>
              <a:rPr lang="en-US" altLang="zh-CN" sz="600" dirty="0">
                <a:latin typeface="微软雅黑" panose="020B0503020204020204" charset="-122"/>
                <a:ea typeface="微软雅黑" panose="020B0503020204020204" charset="-122"/>
              </a:rPr>
              <a:t>25%</a:t>
            </a:r>
            <a:r>
              <a:rPr lang="zh-CN" altLang="en-US" sz="600" dirty="0">
                <a:latin typeface="微软雅黑" panose="020B0503020204020204" charset="-122"/>
                <a:ea typeface="微软雅黑" panose="020B0503020204020204" charset="-122"/>
              </a:rPr>
              <a:t>）</a:t>
            </a:r>
          </a:p>
        </xdr:txBody>
      </xdr:sp>
      <xdr:cxnSp macro="">
        <xdr:nvCxnSpPr>
          <xdr:cNvPr id="23" name="肘形连接符 22">
            <a:extLst>
              <a:ext uri="{FF2B5EF4-FFF2-40B4-BE49-F238E27FC236}">
                <a16:creationId xmlns:a16="http://schemas.microsoft.com/office/drawing/2014/main" id="{00000000-0008-0000-0100-000017000000}"/>
              </a:ext>
            </a:extLst>
          </xdr:cNvPr>
          <xdr:cNvCxnSpPr>
            <a:stCxn id="19" idx="2"/>
            <a:endCxn id="20" idx="0"/>
          </xdr:cNvCxnSpPr>
        </xdr:nvCxnSpPr>
        <xdr:spPr>
          <a:xfrm rot="5400000">
            <a:off x="3761" y="1461"/>
            <a:ext cx="976" cy="1681"/>
          </a:xfrm>
          <a:prstGeom prst="bentConnector3">
            <a:avLst>
              <a:gd name="adj1" fmla="val 49949"/>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editAs="oneCell">
    <xdr:from>
      <xdr:col>0</xdr:col>
      <xdr:colOff>350520</xdr:colOff>
      <xdr:row>30</xdr:row>
      <xdr:rowOff>203200</xdr:rowOff>
    </xdr:from>
    <xdr:to>
      <xdr:col>11</xdr:col>
      <xdr:colOff>76200</xdr:colOff>
      <xdr:row>45</xdr:row>
      <xdr:rowOff>38100</xdr:rowOff>
    </xdr:to>
    <xdr:pic>
      <xdr:nvPicPr>
        <xdr:cNvPr id="24" name="图片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4"/>
        <a:stretch>
          <a:fillRect/>
        </a:stretch>
      </xdr:blipFill>
      <xdr:spPr>
        <a:xfrm>
          <a:off x="350520" y="10629900"/>
          <a:ext cx="7401560" cy="2978150"/>
        </a:xfrm>
        <a:prstGeom prst="rect">
          <a:avLst/>
        </a:prstGeom>
        <a:noFill/>
        <a:ln w="9525">
          <a:noFill/>
        </a:ln>
      </xdr:spPr>
    </xdr:pic>
    <xdr:clientData/>
  </xdr:twoCellAnchor>
  <xdr:twoCellAnchor editAs="oneCell">
    <xdr:from>
      <xdr:col>24</xdr:col>
      <xdr:colOff>2540</xdr:colOff>
      <xdr:row>31</xdr:row>
      <xdr:rowOff>146050</xdr:rowOff>
    </xdr:from>
    <xdr:to>
      <xdr:col>32</xdr:col>
      <xdr:colOff>148590</xdr:colOff>
      <xdr:row>45</xdr:row>
      <xdr:rowOff>1270</xdr:rowOff>
    </xdr:to>
    <xdr:pic>
      <xdr:nvPicPr>
        <xdr:cNvPr id="25" name="图片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5"/>
        <a:stretch>
          <a:fillRect/>
        </a:stretch>
      </xdr:blipFill>
      <xdr:spPr>
        <a:xfrm>
          <a:off x="16370300" y="10782300"/>
          <a:ext cx="6285865" cy="2788920"/>
        </a:xfrm>
        <a:prstGeom prst="rect">
          <a:avLst/>
        </a:prstGeom>
        <a:noFill/>
        <a:ln w="9525">
          <a:noFill/>
        </a:ln>
      </xdr:spPr>
    </xdr:pic>
    <xdr:clientData/>
  </xdr:twoCellAnchor>
  <xdr:twoCellAnchor>
    <xdr:from>
      <xdr:col>24</xdr:col>
      <xdr:colOff>635</xdr:colOff>
      <xdr:row>1</xdr:row>
      <xdr:rowOff>76200</xdr:rowOff>
    </xdr:from>
    <xdr:to>
      <xdr:col>29</xdr:col>
      <xdr:colOff>511175</xdr:colOff>
      <xdr:row>7</xdr:row>
      <xdr:rowOff>28575</xdr:rowOff>
    </xdr:to>
    <xdr:grpSp>
      <xdr:nvGrpSpPr>
        <xdr:cNvPr id="26" name="组合 25">
          <a:extLst>
            <a:ext uri="{FF2B5EF4-FFF2-40B4-BE49-F238E27FC236}">
              <a16:creationId xmlns:a16="http://schemas.microsoft.com/office/drawing/2014/main" id="{00000000-0008-0000-0100-00001A000000}"/>
            </a:ext>
          </a:extLst>
        </xdr:cNvPr>
        <xdr:cNvGrpSpPr/>
      </xdr:nvGrpSpPr>
      <xdr:grpSpPr>
        <a:xfrm>
          <a:off x="16398875" y="342900"/>
          <a:ext cx="3912870" cy="1943100"/>
          <a:chOff x="24219" y="510"/>
          <a:chExt cx="5425" cy="2855"/>
        </a:xfrm>
      </xdr:grpSpPr>
      <xdr:sp macro="" textlink="">
        <xdr:nvSpPr>
          <xdr:cNvPr id="27" name="文本框 26">
            <a:extLst>
              <a:ext uri="{FF2B5EF4-FFF2-40B4-BE49-F238E27FC236}">
                <a16:creationId xmlns:a16="http://schemas.microsoft.com/office/drawing/2014/main" id="{00000000-0008-0000-0100-00001B000000}"/>
              </a:ext>
            </a:extLst>
          </xdr:cNvPr>
          <xdr:cNvSpPr txBox="1"/>
        </xdr:nvSpPr>
        <xdr:spPr>
          <a:xfrm>
            <a:off x="24219" y="510"/>
            <a:ext cx="2430" cy="353"/>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800" b="1" dirty="0">
                <a:solidFill>
                  <a:srgbClr val="C00000"/>
                </a:solidFill>
                <a:latin typeface="微软雅黑" panose="020B0503020204020204" charset="-122"/>
                <a:ea typeface="微软雅黑" panose="020B0503020204020204" charset="-122"/>
              </a:rPr>
              <a:t>2021</a:t>
            </a:r>
            <a:r>
              <a:rPr lang="zh-CN" altLang="en-US" sz="800" b="1" dirty="0">
                <a:solidFill>
                  <a:srgbClr val="C00000"/>
                </a:solidFill>
                <a:latin typeface="微软雅黑" panose="020B0503020204020204" charset="-122"/>
                <a:ea typeface="微软雅黑" panose="020B0503020204020204" charset="-122"/>
              </a:rPr>
              <a:t>年</a:t>
            </a:r>
            <a:r>
              <a:rPr lang="en-US" altLang="zh-CN" sz="800" b="1" dirty="0">
                <a:solidFill>
                  <a:srgbClr val="C00000"/>
                </a:solidFill>
                <a:latin typeface="微软雅黑" panose="020B0503020204020204" charset="-122"/>
                <a:ea typeface="微软雅黑" panose="020B0503020204020204" charset="-122"/>
              </a:rPr>
              <a:t>1</a:t>
            </a:r>
            <a:r>
              <a:rPr lang="zh-CN" altLang="en-US" sz="800" b="1" dirty="0">
                <a:solidFill>
                  <a:srgbClr val="C00000"/>
                </a:solidFill>
                <a:latin typeface="微软雅黑" panose="020B0503020204020204" charset="-122"/>
                <a:ea typeface="微软雅黑" panose="020B0503020204020204" charset="-122"/>
              </a:rPr>
              <a:t>月进入时</a:t>
            </a:r>
          </a:p>
        </xdr:txBody>
      </xdr:sp>
      <xdr:sp macro="" textlink="">
        <xdr:nvSpPr>
          <xdr:cNvPr id="28" name="圆角矩形 6">
            <a:extLst>
              <a:ext uri="{FF2B5EF4-FFF2-40B4-BE49-F238E27FC236}">
                <a16:creationId xmlns:a16="http://schemas.microsoft.com/office/drawing/2014/main" id="{00000000-0008-0000-0100-00001C000000}"/>
              </a:ext>
            </a:extLst>
          </xdr:cNvPr>
          <xdr:cNvSpPr/>
        </xdr:nvSpPr>
        <xdr:spPr>
          <a:xfrm>
            <a:off x="25684" y="2872"/>
            <a:ext cx="2415" cy="493"/>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惠州市俊发置业投资有限公司</a:t>
            </a:r>
            <a:r>
              <a:rPr lang="zh-CN" altLang="en-US" sz="500" dirty="0">
                <a:solidFill>
                  <a:schemeClr val="tx1"/>
                </a:solidFill>
                <a:latin typeface="微软雅黑" panose="020B0503020204020204" charset="-122"/>
                <a:ea typeface="微软雅黑" panose="020B0503020204020204" charset="-122"/>
              </a:rPr>
              <a:t>（金山湖）</a:t>
            </a:r>
          </a:p>
        </xdr:txBody>
      </xdr:sp>
      <xdr:sp macro="" textlink="">
        <xdr:nvSpPr>
          <xdr:cNvPr id="29" name="文本框 28">
            <a:extLst>
              <a:ext uri="{FF2B5EF4-FFF2-40B4-BE49-F238E27FC236}">
                <a16:creationId xmlns:a16="http://schemas.microsoft.com/office/drawing/2014/main" id="{00000000-0008-0000-0100-00001D000000}"/>
              </a:ext>
            </a:extLst>
          </xdr:cNvPr>
          <xdr:cNvSpPr txBox="1"/>
        </xdr:nvSpPr>
        <xdr:spPr>
          <a:xfrm>
            <a:off x="28402" y="2281"/>
            <a:ext cx="1160" cy="457"/>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49%</a:t>
            </a:r>
          </a:p>
          <a:p>
            <a:pPr>
              <a:defRPr/>
            </a:pPr>
            <a:r>
              <a:rPr lang="zh-CN" altLang="en-US" sz="600" dirty="0">
                <a:latin typeface="微软雅黑" panose="020B0503020204020204" charset="-122"/>
                <a:ea typeface="微软雅黑" panose="020B0503020204020204" charset="-122"/>
              </a:rPr>
              <a:t>收益权：</a:t>
            </a:r>
            <a:r>
              <a:rPr lang="en-US" altLang="zh-CN" sz="600" dirty="0">
                <a:latin typeface="微软雅黑" panose="020B0503020204020204" charset="-122"/>
                <a:ea typeface="微软雅黑" panose="020B0503020204020204" charset="-122"/>
              </a:rPr>
              <a:t>80%</a:t>
            </a:r>
          </a:p>
        </xdr:txBody>
      </xdr:sp>
      <xdr:sp macro="" textlink="">
        <xdr:nvSpPr>
          <xdr:cNvPr id="30" name="文本框 29">
            <a:extLst>
              <a:ext uri="{FF2B5EF4-FFF2-40B4-BE49-F238E27FC236}">
                <a16:creationId xmlns:a16="http://schemas.microsoft.com/office/drawing/2014/main" id="{00000000-0008-0000-0100-00001E000000}"/>
              </a:ext>
            </a:extLst>
          </xdr:cNvPr>
          <xdr:cNvSpPr txBox="1"/>
        </xdr:nvSpPr>
        <xdr:spPr>
          <a:xfrm>
            <a:off x="24311" y="2389"/>
            <a:ext cx="1791" cy="457"/>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并表</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收益权：</a:t>
            </a:r>
            <a:r>
              <a:rPr lang="en-US" altLang="zh-CN" sz="600" dirty="0">
                <a:latin typeface="微软雅黑" panose="020B0503020204020204" charset="-122"/>
                <a:ea typeface="微软雅黑" panose="020B0503020204020204" charset="-122"/>
              </a:rPr>
              <a:t>20%</a:t>
            </a:r>
            <a:r>
              <a:rPr lang="zh-CN" altLang="en-US" sz="600" dirty="0">
                <a:latin typeface="微软雅黑" panose="020B0503020204020204" charset="-122"/>
                <a:ea typeface="微软雅黑" panose="020B0503020204020204" charset="-122"/>
              </a:rPr>
              <a:t>，</a:t>
            </a:r>
            <a:r>
              <a:rPr lang="en-US" altLang="zh-CN" sz="600" dirty="0">
                <a:latin typeface="微软雅黑" panose="020B0503020204020204" charset="-122"/>
                <a:ea typeface="微软雅黑" panose="020B0503020204020204" charset="-122"/>
              </a:rPr>
              <a:t>31%</a:t>
            </a:r>
            <a:r>
              <a:rPr lang="zh-CN" altLang="en-US" sz="600" dirty="0">
                <a:latin typeface="微软雅黑" panose="020B0503020204020204" charset="-122"/>
                <a:ea typeface="微软雅黑" panose="020B0503020204020204" charset="-122"/>
              </a:rPr>
              <a:t>股权代持</a:t>
            </a:r>
            <a:endParaRPr lang="en-US" altLang="zh-CN" sz="600" dirty="0">
              <a:latin typeface="微软雅黑" panose="020B0503020204020204" charset="-122"/>
              <a:ea typeface="微软雅黑" panose="020B0503020204020204" charset="-122"/>
            </a:endParaRPr>
          </a:p>
        </xdr:txBody>
      </xdr:sp>
      <xdr:cxnSp macro="">
        <xdr:nvCxnSpPr>
          <xdr:cNvPr id="31" name="肘形连接符 30">
            <a:extLst>
              <a:ext uri="{FF2B5EF4-FFF2-40B4-BE49-F238E27FC236}">
                <a16:creationId xmlns:a16="http://schemas.microsoft.com/office/drawing/2014/main" id="{00000000-0008-0000-0100-00001F000000}"/>
              </a:ext>
            </a:extLst>
          </xdr:cNvPr>
          <xdr:cNvCxnSpPr>
            <a:endCxn id="28" idx="0"/>
          </xdr:cNvCxnSpPr>
        </xdr:nvCxnSpPr>
        <xdr:spPr>
          <a:xfrm rot="5400000">
            <a:off x="27422" y="1789"/>
            <a:ext cx="554" cy="1612"/>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sp macro="" textlink="">
        <xdr:nvSpPr>
          <xdr:cNvPr id="32" name="圆角矩形 1">
            <a:extLst>
              <a:ext uri="{FF2B5EF4-FFF2-40B4-BE49-F238E27FC236}">
                <a16:creationId xmlns:a16="http://schemas.microsoft.com/office/drawing/2014/main" id="{00000000-0008-0000-0100-000020000000}"/>
              </a:ext>
            </a:extLst>
          </xdr:cNvPr>
          <xdr:cNvSpPr/>
        </xdr:nvSpPr>
        <xdr:spPr>
          <a:xfrm>
            <a:off x="27341" y="1825"/>
            <a:ext cx="2303" cy="493"/>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惠州市合景经济信息咨询有限公司</a:t>
            </a:r>
          </a:p>
        </xdr:txBody>
      </xdr:sp>
      <xdr:sp macro="" textlink="">
        <xdr:nvSpPr>
          <xdr:cNvPr id="33" name="圆角矩形 5">
            <a:extLst>
              <a:ext uri="{FF2B5EF4-FFF2-40B4-BE49-F238E27FC236}">
                <a16:creationId xmlns:a16="http://schemas.microsoft.com/office/drawing/2014/main" id="{00000000-0008-0000-0100-000021000000}"/>
              </a:ext>
            </a:extLst>
          </xdr:cNvPr>
          <xdr:cNvSpPr/>
        </xdr:nvSpPr>
        <xdr:spPr>
          <a:xfrm>
            <a:off x="24276" y="1302"/>
            <a:ext cx="2415" cy="1015"/>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t"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广州博祺企业管理合伙企业</a:t>
            </a: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a:t>
            </a:r>
          </a:p>
        </xdr:txBody>
      </xdr:sp>
      <xdr:sp macro="" textlink="">
        <xdr:nvSpPr>
          <xdr:cNvPr id="34" name="圆角矩形 1">
            <a:extLst>
              <a:ext uri="{FF2B5EF4-FFF2-40B4-BE49-F238E27FC236}">
                <a16:creationId xmlns:a16="http://schemas.microsoft.com/office/drawing/2014/main" id="{00000000-0008-0000-0100-000022000000}"/>
              </a:ext>
            </a:extLst>
          </xdr:cNvPr>
          <xdr:cNvSpPr/>
        </xdr:nvSpPr>
        <xdr:spPr>
          <a:xfrm>
            <a:off x="27336" y="711"/>
            <a:ext cx="2303" cy="493"/>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伟福控股有限公司（香港）</a:t>
            </a:r>
          </a:p>
        </xdr:txBody>
      </xdr:sp>
      <xdr:cxnSp macro="">
        <xdr:nvCxnSpPr>
          <xdr:cNvPr id="35" name="直接连接符 34">
            <a:extLst>
              <a:ext uri="{FF2B5EF4-FFF2-40B4-BE49-F238E27FC236}">
                <a16:creationId xmlns:a16="http://schemas.microsoft.com/office/drawing/2014/main" id="{00000000-0008-0000-0100-000023000000}"/>
              </a:ext>
            </a:extLst>
          </xdr:cNvPr>
          <xdr:cNvCxnSpPr>
            <a:stCxn id="34" idx="2"/>
            <a:endCxn id="32" idx="0"/>
          </xdr:cNvCxnSpPr>
        </xdr:nvCxnSpPr>
        <xdr:spPr>
          <a:xfrm>
            <a:off x="28488" y="1204"/>
            <a:ext cx="5" cy="621"/>
          </a:xfrm>
          <a:prstGeom prst="line">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xdr:from>
      <xdr:col>30</xdr:col>
      <xdr:colOff>212725</xdr:colOff>
      <xdr:row>1</xdr:row>
      <xdr:rowOff>43815</xdr:rowOff>
    </xdr:from>
    <xdr:to>
      <xdr:col>35</xdr:col>
      <xdr:colOff>264160</xdr:colOff>
      <xdr:row>7</xdr:row>
      <xdr:rowOff>38735</xdr:rowOff>
    </xdr:to>
    <xdr:grpSp>
      <xdr:nvGrpSpPr>
        <xdr:cNvPr id="36" name="组合 35">
          <a:extLst>
            <a:ext uri="{FF2B5EF4-FFF2-40B4-BE49-F238E27FC236}">
              <a16:creationId xmlns:a16="http://schemas.microsoft.com/office/drawing/2014/main" id="{00000000-0008-0000-0100-000024000000}"/>
            </a:ext>
          </a:extLst>
        </xdr:cNvPr>
        <xdr:cNvGrpSpPr/>
      </xdr:nvGrpSpPr>
      <xdr:grpSpPr>
        <a:xfrm>
          <a:off x="20897215" y="308610"/>
          <a:ext cx="4375785" cy="1985645"/>
          <a:chOff x="29530" y="459"/>
          <a:chExt cx="6165" cy="2922"/>
        </a:xfrm>
      </xdr:grpSpPr>
      <xdr:sp macro="" textlink="">
        <xdr:nvSpPr>
          <xdr:cNvPr id="37" name="文本框 36">
            <a:extLst>
              <a:ext uri="{FF2B5EF4-FFF2-40B4-BE49-F238E27FC236}">
                <a16:creationId xmlns:a16="http://schemas.microsoft.com/office/drawing/2014/main" id="{00000000-0008-0000-0100-000025000000}"/>
              </a:ext>
            </a:extLst>
          </xdr:cNvPr>
          <xdr:cNvSpPr txBox="1"/>
        </xdr:nvSpPr>
        <xdr:spPr>
          <a:xfrm>
            <a:off x="29935" y="459"/>
            <a:ext cx="5760" cy="473"/>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800" b="1" dirty="0">
                <a:solidFill>
                  <a:srgbClr val="C00000"/>
                </a:solidFill>
                <a:latin typeface="微软雅黑" panose="020B0503020204020204" charset="-122"/>
                <a:ea typeface="微软雅黑" panose="020B0503020204020204" charset="-122"/>
              </a:rPr>
              <a:t>现状：股权未退出，实际经营权已退出</a:t>
            </a:r>
          </a:p>
        </xdr:txBody>
      </xdr:sp>
      <xdr:sp macro="" textlink="">
        <xdr:nvSpPr>
          <xdr:cNvPr id="38" name="圆角矩形 1">
            <a:extLst>
              <a:ext uri="{FF2B5EF4-FFF2-40B4-BE49-F238E27FC236}">
                <a16:creationId xmlns:a16="http://schemas.microsoft.com/office/drawing/2014/main" id="{00000000-0008-0000-0100-000026000000}"/>
              </a:ext>
            </a:extLst>
          </xdr:cNvPr>
          <xdr:cNvSpPr/>
        </xdr:nvSpPr>
        <xdr:spPr>
          <a:xfrm>
            <a:off x="33203" y="1721"/>
            <a:ext cx="2299" cy="52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惠州市合景经济信息咨询有限公司</a:t>
            </a:r>
          </a:p>
        </xdr:txBody>
      </xdr:sp>
      <xdr:sp macro="" textlink="">
        <xdr:nvSpPr>
          <xdr:cNvPr id="39" name="圆角矩形 1">
            <a:extLst>
              <a:ext uri="{FF2B5EF4-FFF2-40B4-BE49-F238E27FC236}">
                <a16:creationId xmlns:a16="http://schemas.microsoft.com/office/drawing/2014/main" id="{00000000-0008-0000-0100-000027000000}"/>
              </a:ext>
            </a:extLst>
          </xdr:cNvPr>
          <xdr:cNvSpPr/>
        </xdr:nvSpPr>
        <xdr:spPr>
          <a:xfrm>
            <a:off x="33199" y="882"/>
            <a:ext cx="2299" cy="479"/>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伟福控股有限公司（香港）</a:t>
            </a:r>
          </a:p>
        </xdr:txBody>
      </xdr:sp>
      <xdr:sp macro="" textlink="">
        <xdr:nvSpPr>
          <xdr:cNvPr id="40" name="圆角矩形 5">
            <a:extLst>
              <a:ext uri="{FF2B5EF4-FFF2-40B4-BE49-F238E27FC236}">
                <a16:creationId xmlns:a16="http://schemas.microsoft.com/office/drawing/2014/main" id="{00000000-0008-0000-0100-000028000000}"/>
              </a:ext>
            </a:extLst>
          </xdr:cNvPr>
          <xdr:cNvSpPr/>
        </xdr:nvSpPr>
        <xdr:spPr>
          <a:xfrm>
            <a:off x="29806" y="1749"/>
            <a:ext cx="2299" cy="493"/>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广州博祺企业管理</a:t>
            </a:r>
            <a:r>
              <a:rPr lang="zh-CN" altLang="en-US" sz="600" b="1">
                <a:solidFill>
                  <a:schemeClr val="bg1"/>
                </a:solidFill>
                <a:latin typeface="微软雅黑" panose="020B0503020204020204" charset="-122"/>
                <a:ea typeface="微软雅黑" panose="020B0503020204020204" charset="-122"/>
              </a:rPr>
              <a:t>合伙企业</a:t>
            </a: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a:t>
            </a:r>
            <a:r>
              <a:rPr lang="zh-CN" altLang="en-US" sz="600" b="1">
                <a:solidFill>
                  <a:schemeClr val="bg1"/>
                </a:solidFill>
                <a:latin typeface="微软雅黑" panose="020B0503020204020204" charset="-122"/>
                <a:ea typeface="微软雅黑" panose="020B0503020204020204" charset="-122"/>
              </a:rPr>
              <a:t>合伙</a:t>
            </a:r>
            <a:r>
              <a:rPr lang="en-US" altLang="zh-CN" sz="600" b="1" dirty="0">
                <a:solidFill>
                  <a:schemeClr val="bg1"/>
                </a:solidFill>
                <a:latin typeface="微软雅黑" panose="020B0503020204020204" charset="-122"/>
                <a:ea typeface="微软雅黑" panose="020B0503020204020204" charset="-122"/>
              </a:rPr>
              <a:t>)</a:t>
            </a:r>
          </a:p>
        </xdr:txBody>
      </xdr:sp>
      <xdr:sp macro="" textlink="">
        <xdr:nvSpPr>
          <xdr:cNvPr id="41" name="文本框 40">
            <a:extLst>
              <a:ext uri="{FF2B5EF4-FFF2-40B4-BE49-F238E27FC236}">
                <a16:creationId xmlns:a16="http://schemas.microsoft.com/office/drawing/2014/main" id="{00000000-0008-0000-0100-000029000000}"/>
              </a:ext>
            </a:extLst>
          </xdr:cNvPr>
          <xdr:cNvSpPr txBox="1"/>
        </xdr:nvSpPr>
        <xdr:spPr>
          <a:xfrm>
            <a:off x="33862" y="2262"/>
            <a:ext cx="1054" cy="300"/>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80%</a:t>
            </a:r>
          </a:p>
        </xdr:txBody>
      </xdr:sp>
      <xdr:sp macro="" textlink="">
        <xdr:nvSpPr>
          <xdr:cNvPr id="42" name="文本框 41">
            <a:extLst>
              <a:ext uri="{FF2B5EF4-FFF2-40B4-BE49-F238E27FC236}">
                <a16:creationId xmlns:a16="http://schemas.microsoft.com/office/drawing/2014/main" id="{00000000-0008-0000-0100-00002A000000}"/>
              </a:ext>
            </a:extLst>
          </xdr:cNvPr>
          <xdr:cNvSpPr txBox="1"/>
        </xdr:nvSpPr>
        <xdr:spPr>
          <a:xfrm>
            <a:off x="29530" y="2268"/>
            <a:ext cx="1764" cy="770"/>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20%(</a:t>
            </a:r>
            <a:r>
              <a:rPr lang="zh-CN" altLang="en-US" sz="600" dirty="0">
                <a:latin typeface="微软雅黑" panose="020B0503020204020204" charset="-122"/>
                <a:ea typeface="微软雅黑" panose="020B0503020204020204" charset="-122"/>
              </a:rPr>
              <a:t>暂工商登记）</a:t>
            </a:r>
          </a:p>
          <a:p>
            <a:pPr>
              <a:defRPr/>
            </a:pPr>
            <a:r>
              <a:rPr lang="zh-CN" altLang="en-US" sz="600" dirty="0">
                <a:latin typeface="微软雅黑" panose="020B0503020204020204" charset="-122"/>
                <a:ea typeface="微软雅黑" panose="020B0503020204020204" charset="-122"/>
              </a:rPr>
              <a:t>固定收益收到后转出；</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向项目公司收取固定收益，</a:t>
            </a:r>
          </a:p>
          <a:p>
            <a:pPr>
              <a:defRPr/>
            </a:pPr>
            <a:r>
              <a:rPr lang="zh-CN" altLang="en-US" sz="600" dirty="0">
                <a:latin typeface="微软雅黑" panose="020B0503020204020204" charset="-122"/>
                <a:ea typeface="微软雅黑" panose="020B0503020204020204" charset="-122"/>
              </a:rPr>
              <a:t>无经营收益权</a:t>
            </a:r>
            <a:endParaRPr lang="en-US" altLang="zh-CN" sz="600" dirty="0">
              <a:latin typeface="微软雅黑" panose="020B0503020204020204" charset="-122"/>
              <a:ea typeface="微软雅黑" panose="020B0503020204020204" charset="-122"/>
            </a:endParaRPr>
          </a:p>
        </xdr:txBody>
      </xdr:sp>
      <xdr:cxnSp macro="">
        <xdr:nvCxnSpPr>
          <xdr:cNvPr id="43" name="直接连接符 42">
            <a:extLst>
              <a:ext uri="{FF2B5EF4-FFF2-40B4-BE49-F238E27FC236}">
                <a16:creationId xmlns:a16="http://schemas.microsoft.com/office/drawing/2014/main" id="{00000000-0008-0000-0100-00002B000000}"/>
              </a:ext>
            </a:extLst>
          </xdr:cNvPr>
          <xdr:cNvCxnSpPr>
            <a:stCxn id="39" idx="2"/>
            <a:endCxn id="38" idx="0"/>
          </xdr:cNvCxnSpPr>
        </xdr:nvCxnSpPr>
        <xdr:spPr>
          <a:xfrm>
            <a:off x="34350" y="1361"/>
            <a:ext cx="4" cy="360"/>
          </a:xfrm>
          <a:prstGeom prst="line">
            <a:avLst/>
          </a:prstGeom>
        </xdr:spPr>
        <xdr:style>
          <a:lnRef idx="2">
            <a:schemeClr val="accent1"/>
          </a:lnRef>
          <a:fillRef idx="0">
            <a:srgbClr val="FFFFFF"/>
          </a:fillRef>
          <a:effectRef idx="0">
            <a:srgbClr val="FFFFFF"/>
          </a:effectRef>
          <a:fontRef idx="minor">
            <a:schemeClr val="tx1"/>
          </a:fontRef>
        </xdr:style>
      </xdr:cxnSp>
      <xdr:sp macro="" textlink="">
        <xdr:nvSpPr>
          <xdr:cNvPr id="44" name="圆角矩形 6">
            <a:extLst>
              <a:ext uri="{FF2B5EF4-FFF2-40B4-BE49-F238E27FC236}">
                <a16:creationId xmlns:a16="http://schemas.microsoft.com/office/drawing/2014/main" id="{00000000-0008-0000-0100-00002C000000}"/>
              </a:ext>
            </a:extLst>
          </xdr:cNvPr>
          <xdr:cNvSpPr/>
        </xdr:nvSpPr>
        <xdr:spPr>
          <a:xfrm>
            <a:off x="31337" y="2889"/>
            <a:ext cx="2299" cy="492"/>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惠州市俊发置业投资有限公司</a:t>
            </a:r>
            <a:r>
              <a:rPr lang="zh-CN" altLang="en-US" sz="500" dirty="0">
                <a:solidFill>
                  <a:schemeClr val="tx1"/>
                </a:solidFill>
                <a:latin typeface="微软雅黑" panose="020B0503020204020204" charset="-122"/>
                <a:ea typeface="微软雅黑" panose="020B0503020204020204" charset="-122"/>
              </a:rPr>
              <a:t>（金山湖）</a:t>
            </a:r>
          </a:p>
        </xdr:txBody>
      </xdr:sp>
      <xdr:cxnSp macro="">
        <xdr:nvCxnSpPr>
          <xdr:cNvPr id="45" name="肘形连接符 44">
            <a:extLst>
              <a:ext uri="{FF2B5EF4-FFF2-40B4-BE49-F238E27FC236}">
                <a16:creationId xmlns:a16="http://schemas.microsoft.com/office/drawing/2014/main" id="{00000000-0008-0000-0100-00002D000000}"/>
              </a:ext>
            </a:extLst>
          </xdr:cNvPr>
          <xdr:cNvCxnSpPr>
            <a:stCxn id="38" idx="2"/>
            <a:endCxn id="44" idx="0"/>
          </xdr:cNvCxnSpPr>
        </xdr:nvCxnSpPr>
        <xdr:spPr>
          <a:xfrm rot="5400000">
            <a:off x="33096" y="1632"/>
            <a:ext cx="648" cy="1866"/>
          </a:xfrm>
          <a:prstGeom prst="bentConnector3">
            <a:avLst>
              <a:gd name="adj1" fmla="val 49923"/>
            </a:avLst>
          </a:prstGeom>
        </xdr:spPr>
        <xdr:style>
          <a:lnRef idx="2">
            <a:schemeClr val="accent1"/>
          </a:lnRef>
          <a:fillRef idx="0">
            <a:srgbClr val="FFFFFF"/>
          </a:fillRef>
          <a:effectRef idx="0">
            <a:srgbClr val="FFFFFF"/>
          </a:effectRef>
          <a:fontRef idx="minor">
            <a:schemeClr val="tx1"/>
          </a:fontRef>
        </xdr:style>
      </xdr:cxnSp>
      <xdr:cxnSp macro="">
        <xdr:nvCxnSpPr>
          <xdr:cNvPr id="46" name="肘形连接符 45">
            <a:extLst>
              <a:ext uri="{FF2B5EF4-FFF2-40B4-BE49-F238E27FC236}">
                <a16:creationId xmlns:a16="http://schemas.microsoft.com/office/drawing/2014/main" id="{00000000-0008-0000-0100-00002E000000}"/>
              </a:ext>
            </a:extLst>
          </xdr:cNvPr>
          <xdr:cNvCxnSpPr>
            <a:stCxn id="40" idx="2"/>
            <a:endCxn id="44" idx="0"/>
          </xdr:cNvCxnSpPr>
        </xdr:nvCxnSpPr>
        <xdr:spPr>
          <a:xfrm rot="5400000" flipV="1">
            <a:off x="31398" y="1800"/>
            <a:ext cx="647" cy="1531"/>
          </a:xfrm>
          <a:prstGeom prst="bentConnector3">
            <a:avLst>
              <a:gd name="adj1" fmla="val 50077"/>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editAs="oneCell">
    <xdr:from>
      <xdr:col>25</xdr:col>
      <xdr:colOff>41275</xdr:colOff>
      <xdr:row>56</xdr:row>
      <xdr:rowOff>6350</xdr:rowOff>
    </xdr:from>
    <xdr:to>
      <xdr:col>28</xdr:col>
      <xdr:colOff>218440</xdr:colOff>
      <xdr:row>70</xdr:row>
      <xdr:rowOff>110490</xdr:rowOff>
    </xdr:to>
    <xdr:pic>
      <xdr:nvPicPr>
        <xdr:cNvPr id="47" name="图片 46">
          <a:extLst>
            <a:ext uri="{FF2B5EF4-FFF2-40B4-BE49-F238E27FC236}">
              <a16:creationId xmlns:a16="http://schemas.microsoft.com/office/drawing/2014/main" id="{00000000-0008-0000-0100-00002F000000}"/>
            </a:ext>
          </a:extLst>
        </xdr:cNvPr>
        <xdr:cNvPicPr>
          <a:picLocks noChangeAspect="1"/>
        </xdr:cNvPicPr>
      </xdr:nvPicPr>
      <xdr:blipFill>
        <a:blip xmlns:r="http://schemas.openxmlformats.org/officeDocument/2006/relationships" r:embed="rId6"/>
        <a:stretch>
          <a:fillRect/>
        </a:stretch>
      </xdr:blipFill>
      <xdr:spPr>
        <a:xfrm>
          <a:off x="16698595" y="15881350"/>
          <a:ext cx="2723515" cy="3037840"/>
        </a:xfrm>
        <a:prstGeom prst="rect">
          <a:avLst/>
        </a:prstGeom>
        <a:noFill/>
        <a:ln w="9525">
          <a:noFill/>
        </a:ln>
      </xdr:spPr>
    </xdr:pic>
    <xdr:clientData/>
  </xdr:twoCellAnchor>
  <xdr:twoCellAnchor editAs="oneCell">
    <xdr:from>
      <xdr:col>29</xdr:col>
      <xdr:colOff>43815</xdr:colOff>
      <xdr:row>55</xdr:row>
      <xdr:rowOff>156845</xdr:rowOff>
    </xdr:from>
    <xdr:to>
      <xdr:col>31</xdr:col>
      <xdr:colOff>765810</xdr:colOff>
      <xdr:row>66</xdr:row>
      <xdr:rowOff>72390</xdr:rowOff>
    </xdr:to>
    <xdr:pic>
      <xdr:nvPicPr>
        <xdr:cNvPr id="48" name="图片 47">
          <a:extLst>
            <a:ext uri="{FF2B5EF4-FFF2-40B4-BE49-F238E27FC236}">
              <a16:creationId xmlns:a16="http://schemas.microsoft.com/office/drawing/2014/main" id="{00000000-0008-0000-0100-000030000000}"/>
            </a:ext>
          </a:extLst>
        </xdr:cNvPr>
        <xdr:cNvPicPr>
          <a:picLocks noChangeAspect="1"/>
        </xdr:cNvPicPr>
      </xdr:nvPicPr>
      <xdr:blipFill>
        <a:blip xmlns:r="http://schemas.openxmlformats.org/officeDocument/2006/relationships" r:embed="rId7"/>
        <a:stretch>
          <a:fillRect/>
        </a:stretch>
      </xdr:blipFill>
      <xdr:spPr>
        <a:xfrm>
          <a:off x="19805015" y="15822295"/>
          <a:ext cx="2588260" cy="2220595"/>
        </a:xfrm>
        <a:prstGeom prst="rect">
          <a:avLst/>
        </a:prstGeom>
        <a:noFill/>
        <a:ln w="9525">
          <a:noFill/>
        </a:ln>
      </xdr:spPr>
    </xdr:pic>
    <xdr:clientData/>
  </xdr:twoCellAnchor>
  <xdr:twoCellAnchor>
    <xdr:from>
      <xdr:col>12</xdr:col>
      <xdr:colOff>559435</xdr:colOff>
      <xdr:row>1</xdr:row>
      <xdr:rowOff>57150</xdr:rowOff>
    </xdr:from>
    <xdr:to>
      <xdr:col>22</xdr:col>
      <xdr:colOff>572135</xdr:colOff>
      <xdr:row>7</xdr:row>
      <xdr:rowOff>171450</xdr:rowOff>
    </xdr:to>
    <xdr:grpSp>
      <xdr:nvGrpSpPr>
        <xdr:cNvPr id="49" name="组合 48">
          <a:extLst>
            <a:ext uri="{FF2B5EF4-FFF2-40B4-BE49-F238E27FC236}">
              <a16:creationId xmlns:a16="http://schemas.microsoft.com/office/drawing/2014/main" id="{00000000-0008-0000-0100-000031000000}"/>
            </a:ext>
          </a:extLst>
        </xdr:cNvPr>
        <xdr:cNvGrpSpPr/>
      </xdr:nvGrpSpPr>
      <xdr:grpSpPr>
        <a:xfrm>
          <a:off x="8432800" y="327660"/>
          <a:ext cx="7188835" cy="2103120"/>
          <a:chOff x="13031" y="480"/>
          <a:chExt cx="10370" cy="3110"/>
        </a:xfrm>
      </xdr:grpSpPr>
      <xdr:sp macro="" textlink="">
        <xdr:nvSpPr>
          <xdr:cNvPr id="50" name="圆角矩形 5">
            <a:extLst>
              <a:ext uri="{FF2B5EF4-FFF2-40B4-BE49-F238E27FC236}">
                <a16:creationId xmlns:a16="http://schemas.microsoft.com/office/drawing/2014/main" id="{00000000-0008-0000-0100-000032000000}"/>
              </a:ext>
            </a:extLst>
          </xdr:cNvPr>
          <xdr:cNvSpPr/>
        </xdr:nvSpPr>
        <xdr:spPr>
          <a:xfrm>
            <a:off x="13113" y="1964"/>
            <a:ext cx="2371" cy="495"/>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en-US" altLang="zh-CN" sz="600" b="1" dirty="0">
                <a:solidFill>
                  <a:schemeClr val="bg1"/>
                </a:solidFill>
                <a:latin typeface="微软雅黑" panose="020B0503020204020204" charset="-122"/>
                <a:ea typeface="微软雅黑" panose="020B0503020204020204" charset="-122"/>
              </a:rPr>
              <a:t>深圳聚荣鼎盛控股发展有限公司</a:t>
            </a:r>
            <a:r>
              <a:rPr lang="zh-CN" altLang="en-US" sz="600" b="1" dirty="0">
                <a:solidFill>
                  <a:schemeClr val="bg1"/>
                </a:solidFill>
                <a:latin typeface="微软雅黑" panose="020B0503020204020204" charset="-122"/>
                <a:ea typeface="微软雅黑" panose="020B0503020204020204" charset="-122"/>
              </a:rPr>
              <a:t>（甲）</a:t>
            </a:r>
            <a:endParaRPr lang="en-US" altLang="zh-CN" sz="600" b="1" dirty="0">
              <a:solidFill>
                <a:schemeClr val="bg1"/>
              </a:solidFill>
              <a:latin typeface="微软雅黑" panose="020B0503020204020204" charset="-122"/>
              <a:ea typeface="微软雅黑" panose="020B0503020204020204" charset="-122"/>
            </a:endParaRPr>
          </a:p>
        </xdr:txBody>
      </xdr:sp>
      <xdr:sp macro="" textlink="">
        <xdr:nvSpPr>
          <xdr:cNvPr id="51" name="圆角矩形 1">
            <a:extLst>
              <a:ext uri="{FF2B5EF4-FFF2-40B4-BE49-F238E27FC236}">
                <a16:creationId xmlns:a16="http://schemas.microsoft.com/office/drawing/2014/main" id="{00000000-0008-0000-0100-000033000000}"/>
              </a:ext>
            </a:extLst>
          </xdr:cNvPr>
          <xdr:cNvSpPr/>
        </xdr:nvSpPr>
        <xdr:spPr>
          <a:xfrm>
            <a:off x="16244" y="480"/>
            <a:ext cx="2369" cy="492"/>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伟福控股有限公司（香港）</a:t>
            </a:r>
          </a:p>
        </xdr:txBody>
      </xdr:sp>
      <xdr:sp macro="" textlink="">
        <xdr:nvSpPr>
          <xdr:cNvPr id="52" name="圆角矩形 1">
            <a:extLst>
              <a:ext uri="{FF2B5EF4-FFF2-40B4-BE49-F238E27FC236}">
                <a16:creationId xmlns:a16="http://schemas.microsoft.com/office/drawing/2014/main" id="{00000000-0008-0000-0100-000034000000}"/>
              </a:ext>
            </a:extLst>
          </xdr:cNvPr>
          <xdr:cNvSpPr/>
        </xdr:nvSpPr>
        <xdr:spPr>
          <a:xfrm>
            <a:off x="16234" y="1974"/>
            <a:ext cx="2369" cy="49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惠州市景达房地产开发有限公司（乙）</a:t>
            </a:r>
          </a:p>
        </xdr:txBody>
      </xdr:sp>
      <xdr:sp macro="" textlink="">
        <xdr:nvSpPr>
          <xdr:cNvPr id="53" name="圆角矩形 6">
            <a:extLst>
              <a:ext uri="{FF2B5EF4-FFF2-40B4-BE49-F238E27FC236}">
                <a16:creationId xmlns:a16="http://schemas.microsoft.com/office/drawing/2014/main" id="{00000000-0008-0000-0100-000035000000}"/>
              </a:ext>
            </a:extLst>
          </xdr:cNvPr>
          <xdr:cNvSpPr/>
        </xdr:nvSpPr>
        <xdr:spPr>
          <a:xfrm>
            <a:off x="14525" y="3098"/>
            <a:ext cx="2326" cy="492"/>
          </a:xfrm>
          <a:prstGeom prst="roundRect">
            <a:avLst/>
          </a:prstGeom>
          <a:noFill/>
          <a:ln w="28575" cmpd="sng">
            <a:solidFill>
              <a:srgbClr val="4874CB"/>
            </a:solidFill>
            <a:prstDash val="sysDash"/>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700" dirty="0">
                <a:solidFill>
                  <a:schemeClr val="tx1"/>
                </a:solidFill>
                <a:latin typeface="微软雅黑" panose="020B0503020204020204" charset="-122"/>
                <a:ea typeface="微软雅黑" panose="020B0503020204020204" charset="-122"/>
              </a:rPr>
              <a:t>项目公司（南站）</a:t>
            </a:r>
          </a:p>
        </xdr:txBody>
      </xdr:sp>
      <xdr:sp macro="" textlink="">
        <xdr:nvSpPr>
          <xdr:cNvPr id="54" name="文本框 53">
            <a:extLst>
              <a:ext uri="{FF2B5EF4-FFF2-40B4-BE49-F238E27FC236}">
                <a16:creationId xmlns:a16="http://schemas.microsoft.com/office/drawing/2014/main" id="{00000000-0008-0000-0100-000036000000}"/>
              </a:ext>
            </a:extLst>
          </xdr:cNvPr>
          <xdr:cNvSpPr txBox="1"/>
        </xdr:nvSpPr>
        <xdr:spPr>
          <a:xfrm>
            <a:off x="14374" y="2472"/>
            <a:ext cx="1566" cy="299"/>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30%</a:t>
            </a:r>
            <a:r>
              <a:rPr lang="zh-CN" altLang="en-US" sz="600" dirty="0">
                <a:latin typeface="微软雅黑" panose="020B0503020204020204" charset="-122"/>
                <a:ea typeface="微软雅黑" panose="020B0503020204020204" charset="-122"/>
              </a:rPr>
              <a:t>（</a:t>
            </a:r>
            <a:r>
              <a:rPr lang="zh-CN" altLang="en-US" sz="600" dirty="0">
                <a:latin typeface="微软雅黑" panose="020B0503020204020204" charset="-122"/>
                <a:ea typeface="微软雅黑" panose="020B0503020204020204" charset="-122"/>
                <a:sym typeface="+mn-ea"/>
              </a:rPr>
              <a:t>协议规划股权</a:t>
            </a:r>
            <a:r>
              <a:rPr lang="zh-CN" altLang="en-US" sz="600" dirty="0">
                <a:latin typeface="微软雅黑" panose="020B0503020204020204" charset="-122"/>
                <a:ea typeface="微软雅黑" panose="020B0503020204020204" charset="-122"/>
              </a:rPr>
              <a:t>）</a:t>
            </a:r>
            <a:endParaRPr lang="en-US" altLang="zh-CN" sz="600" dirty="0">
              <a:latin typeface="微软雅黑" panose="020B0503020204020204" charset="-122"/>
              <a:ea typeface="微软雅黑" panose="020B0503020204020204" charset="-122"/>
            </a:endParaRPr>
          </a:p>
        </xdr:txBody>
      </xdr:sp>
      <xdr:sp macro="" textlink="">
        <xdr:nvSpPr>
          <xdr:cNvPr id="55" name="文本框 54">
            <a:extLst>
              <a:ext uri="{FF2B5EF4-FFF2-40B4-BE49-F238E27FC236}">
                <a16:creationId xmlns:a16="http://schemas.microsoft.com/office/drawing/2014/main" id="{00000000-0008-0000-0100-000037000000}"/>
              </a:ext>
            </a:extLst>
          </xdr:cNvPr>
          <xdr:cNvSpPr txBox="1"/>
        </xdr:nvSpPr>
        <xdr:spPr>
          <a:xfrm>
            <a:off x="17319" y="2469"/>
            <a:ext cx="2819" cy="299"/>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70%</a:t>
            </a:r>
            <a:r>
              <a:rPr lang="zh-CN" altLang="en-US" sz="600" dirty="0">
                <a:latin typeface="微软雅黑" panose="020B0503020204020204" charset="-122"/>
                <a:ea typeface="微软雅黑" panose="020B0503020204020204" charset="-122"/>
              </a:rPr>
              <a:t>（协议规划股权）</a:t>
            </a:r>
            <a:endParaRPr lang="en-US" altLang="zh-CN" sz="600" dirty="0">
              <a:latin typeface="微软雅黑" panose="020B0503020204020204" charset="-122"/>
              <a:ea typeface="微软雅黑" panose="020B0503020204020204" charset="-122"/>
            </a:endParaRPr>
          </a:p>
        </xdr:txBody>
      </xdr:sp>
      <xdr:sp macro="" textlink="">
        <xdr:nvSpPr>
          <xdr:cNvPr id="56" name="圆角矩形 1">
            <a:extLst>
              <a:ext uri="{FF2B5EF4-FFF2-40B4-BE49-F238E27FC236}">
                <a16:creationId xmlns:a16="http://schemas.microsoft.com/office/drawing/2014/main" id="{00000000-0008-0000-0100-000038000000}"/>
              </a:ext>
            </a:extLst>
          </xdr:cNvPr>
          <xdr:cNvSpPr/>
        </xdr:nvSpPr>
        <xdr:spPr>
          <a:xfrm>
            <a:off x="16254" y="1196"/>
            <a:ext cx="2369" cy="492"/>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惠州市合景经济信息咨询有限公司</a:t>
            </a:r>
          </a:p>
        </xdr:txBody>
      </xdr:sp>
      <xdr:sp macro="" textlink="">
        <xdr:nvSpPr>
          <xdr:cNvPr id="57" name="圆角矩形 1">
            <a:extLst>
              <a:ext uri="{FF2B5EF4-FFF2-40B4-BE49-F238E27FC236}">
                <a16:creationId xmlns:a16="http://schemas.microsoft.com/office/drawing/2014/main" id="{00000000-0008-0000-0100-000039000000}"/>
              </a:ext>
            </a:extLst>
          </xdr:cNvPr>
          <xdr:cNvSpPr/>
        </xdr:nvSpPr>
        <xdr:spPr>
          <a:xfrm>
            <a:off x="19298" y="1955"/>
            <a:ext cx="2368" cy="49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杨老太（丙）</a:t>
            </a:r>
          </a:p>
        </xdr:txBody>
      </xdr:sp>
      <xdr:cxnSp macro="">
        <xdr:nvCxnSpPr>
          <xdr:cNvPr id="58" name="肘形连接符 57">
            <a:extLst>
              <a:ext uri="{FF2B5EF4-FFF2-40B4-BE49-F238E27FC236}">
                <a16:creationId xmlns:a16="http://schemas.microsoft.com/office/drawing/2014/main" id="{00000000-0008-0000-0100-00003A000000}"/>
              </a:ext>
            </a:extLst>
          </xdr:cNvPr>
          <xdr:cNvCxnSpPr>
            <a:stCxn id="57" idx="2"/>
            <a:endCxn id="53" idx="0"/>
          </xdr:cNvCxnSpPr>
        </xdr:nvCxnSpPr>
        <xdr:spPr>
          <a:xfrm rot="5400000">
            <a:off x="17756" y="372"/>
            <a:ext cx="653" cy="4795"/>
          </a:xfrm>
          <a:prstGeom prst="bentConnector3">
            <a:avLst>
              <a:gd name="adj1" fmla="val 50000"/>
            </a:avLst>
          </a:prstGeom>
          <a:ln w="12700" cap="flat" cmpd="sng" algn="ctr">
            <a:solidFill>
              <a:schemeClr val="accent1"/>
            </a:solidFill>
            <a:prstDash val="dash"/>
            <a:miter lim="800000"/>
          </a:ln>
        </xdr:spPr>
        <xdr:style>
          <a:lnRef idx="0">
            <a:schemeClr val="accent1"/>
          </a:lnRef>
          <a:fillRef idx="0">
            <a:srgbClr val="FFFFFF"/>
          </a:fillRef>
          <a:effectRef idx="0">
            <a:srgbClr val="FFFFFF"/>
          </a:effectRef>
          <a:fontRef idx="minor">
            <a:schemeClr val="tx1"/>
          </a:fontRef>
        </xdr:style>
      </xdr:cxnSp>
      <xdr:sp macro="" textlink="">
        <xdr:nvSpPr>
          <xdr:cNvPr id="59" name="文本框 58">
            <a:extLst>
              <a:ext uri="{FF2B5EF4-FFF2-40B4-BE49-F238E27FC236}">
                <a16:creationId xmlns:a16="http://schemas.microsoft.com/office/drawing/2014/main" id="{00000000-0008-0000-0100-00003B000000}"/>
              </a:ext>
            </a:extLst>
          </xdr:cNvPr>
          <xdr:cNvSpPr txBox="1"/>
        </xdr:nvSpPr>
        <xdr:spPr>
          <a:xfrm>
            <a:off x="19742" y="2442"/>
            <a:ext cx="2323" cy="301"/>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若项目成，定额收益</a:t>
            </a:r>
            <a:r>
              <a:rPr lang="en-US" altLang="zh-CN" sz="600" dirty="0">
                <a:latin typeface="微软雅黑" panose="020B0503020204020204" charset="-122"/>
                <a:ea typeface="微软雅黑" panose="020B0503020204020204" charset="-122"/>
              </a:rPr>
              <a:t>6000</a:t>
            </a:r>
            <a:r>
              <a:rPr lang="zh-CN" altLang="en-US" sz="600" dirty="0">
                <a:latin typeface="微软雅黑" panose="020B0503020204020204" charset="-122"/>
                <a:ea typeface="微软雅黑" panose="020B0503020204020204" charset="-122"/>
              </a:rPr>
              <a:t>万，不占股</a:t>
            </a:r>
            <a:endParaRPr lang="en-US" altLang="zh-CN" sz="600" dirty="0">
              <a:latin typeface="微软雅黑" panose="020B0503020204020204" charset="-122"/>
              <a:ea typeface="微软雅黑" panose="020B0503020204020204" charset="-122"/>
            </a:endParaRPr>
          </a:p>
        </xdr:txBody>
      </xdr:sp>
      <xdr:cxnSp macro="">
        <xdr:nvCxnSpPr>
          <xdr:cNvPr id="60" name="直接连接符 59">
            <a:extLst>
              <a:ext uri="{FF2B5EF4-FFF2-40B4-BE49-F238E27FC236}">
                <a16:creationId xmlns:a16="http://schemas.microsoft.com/office/drawing/2014/main" id="{00000000-0008-0000-0100-00003C000000}"/>
              </a:ext>
            </a:extLst>
          </xdr:cNvPr>
          <xdr:cNvCxnSpPr>
            <a:stCxn id="51" idx="2"/>
            <a:endCxn id="56" idx="0"/>
          </xdr:cNvCxnSpPr>
        </xdr:nvCxnSpPr>
        <xdr:spPr>
          <a:xfrm>
            <a:off x="17429" y="972"/>
            <a:ext cx="0" cy="224"/>
          </a:xfrm>
          <a:prstGeom prst="line">
            <a:avLst/>
          </a:prstGeom>
        </xdr:spPr>
        <xdr:style>
          <a:lnRef idx="2">
            <a:schemeClr val="accent1"/>
          </a:lnRef>
          <a:fillRef idx="0">
            <a:srgbClr val="FFFFFF"/>
          </a:fillRef>
          <a:effectRef idx="0">
            <a:srgbClr val="FFFFFF"/>
          </a:effectRef>
          <a:fontRef idx="minor">
            <a:schemeClr val="tx1"/>
          </a:fontRef>
        </xdr:style>
      </xdr:cxnSp>
      <xdr:cxnSp macro="">
        <xdr:nvCxnSpPr>
          <xdr:cNvPr id="61" name="直接连接符 60">
            <a:extLst>
              <a:ext uri="{FF2B5EF4-FFF2-40B4-BE49-F238E27FC236}">
                <a16:creationId xmlns:a16="http://schemas.microsoft.com/office/drawing/2014/main" id="{00000000-0008-0000-0100-00003D000000}"/>
              </a:ext>
            </a:extLst>
          </xdr:cNvPr>
          <xdr:cNvCxnSpPr>
            <a:stCxn id="56" idx="2"/>
            <a:endCxn id="52" idx="0"/>
          </xdr:cNvCxnSpPr>
        </xdr:nvCxnSpPr>
        <xdr:spPr>
          <a:xfrm flipH="1">
            <a:off x="17418" y="1688"/>
            <a:ext cx="0" cy="286"/>
          </a:xfrm>
          <a:prstGeom prst="line">
            <a:avLst/>
          </a:prstGeom>
        </xdr:spPr>
        <xdr:style>
          <a:lnRef idx="2">
            <a:schemeClr val="accent1"/>
          </a:lnRef>
          <a:fillRef idx="0">
            <a:srgbClr val="FFFFFF"/>
          </a:fillRef>
          <a:effectRef idx="0">
            <a:srgbClr val="FFFFFF"/>
          </a:effectRef>
          <a:fontRef idx="minor">
            <a:schemeClr val="tx1"/>
          </a:fontRef>
        </xdr:style>
      </xdr:cxnSp>
      <xdr:sp macro="" textlink="">
        <xdr:nvSpPr>
          <xdr:cNvPr id="62" name="文本框 61">
            <a:extLst>
              <a:ext uri="{FF2B5EF4-FFF2-40B4-BE49-F238E27FC236}">
                <a16:creationId xmlns:a16="http://schemas.microsoft.com/office/drawing/2014/main" id="{00000000-0008-0000-0100-00003E000000}"/>
              </a:ext>
            </a:extLst>
          </xdr:cNvPr>
          <xdr:cNvSpPr txBox="1"/>
        </xdr:nvSpPr>
        <xdr:spPr>
          <a:xfrm>
            <a:off x="15613" y="2805"/>
            <a:ext cx="2335" cy="320"/>
          </a:xfrm>
          <a:prstGeom prst="rect">
            <a:avLst/>
          </a:prstGeom>
          <a:noFill/>
        </xdr:spPr>
        <xdr:txBody>
          <a:bodyPr wrap="square" rtlCol="0">
            <a:no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规划设立，实际未设立</a:t>
            </a:r>
            <a:endParaRPr lang="en-US" altLang="zh-CN" sz="600" dirty="0">
              <a:latin typeface="微软雅黑" panose="020B0503020204020204" charset="-122"/>
              <a:ea typeface="微软雅黑" panose="020B0503020204020204" charset="-122"/>
            </a:endParaRPr>
          </a:p>
        </xdr:txBody>
      </xdr:sp>
      <xdr:sp macro="" textlink="">
        <xdr:nvSpPr>
          <xdr:cNvPr id="63" name="矩形: 圆角 7">
            <a:extLst>
              <a:ext uri="{FF2B5EF4-FFF2-40B4-BE49-F238E27FC236}">
                <a16:creationId xmlns:a16="http://schemas.microsoft.com/office/drawing/2014/main" id="{00000000-0008-0000-0100-00003F000000}"/>
              </a:ext>
            </a:extLst>
          </xdr:cNvPr>
          <xdr:cNvSpPr/>
        </xdr:nvSpPr>
        <xdr:spPr>
          <a:xfrm>
            <a:off x="13031" y="1940"/>
            <a:ext cx="10234" cy="528"/>
          </a:xfrm>
          <a:prstGeom prst="roundRect">
            <a:avLst/>
          </a:prstGeom>
          <a:noFill/>
          <a:ln w="1270" cmpd="sng">
            <a:solidFill>
              <a:schemeClr val="accent2">
                <a:lumMod val="40000"/>
                <a:lumOff val="60000"/>
              </a:schemeClr>
            </a:solidFill>
            <a:prstDash val="sysDash"/>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endParaRPr lang="zh-CN" altLang="en-US" sz="1100"/>
          </a:p>
        </xdr:txBody>
      </xdr:sp>
      <xdr:sp macro="" textlink="">
        <xdr:nvSpPr>
          <xdr:cNvPr id="64" name="文本框 63">
            <a:extLst>
              <a:ext uri="{FF2B5EF4-FFF2-40B4-BE49-F238E27FC236}">
                <a16:creationId xmlns:a16="http://schemas.microsoft.com/office/drawing/2014/main" id="{00000000-0008-0000-0100-000040000000}"/>
              </a:ext>
            </a:extLst>
          </xdr:cNvPr>
          <xdr:cNvSpPr txBox="1"/>
        </xdr:nvSpPr>
        <xdr:spPr>
          <a:xfrm>
            <a:off x="21563" y="2022"/>
            <a:ext cx="1839" cy="380"/>
          </a:xfrm>
          <a:prstGeom prst="rect">
            <a:avLst/>
          </a:prstGeom>
          <a:noFill/>
        </xdr:spPr>
        <xdr:txBody>
          <a:bodyPr wrap="square" rtlCol="0">
            <a:no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en-US" altLang="zh-CN" sz="600" dirty="0">
                <a:latin typeface="微软雅黑" panose="020B0503020204020204" charset="-122"/>
                <a:ea typeface="微软雅黑" panose="020B0503020204020204" charset="-122"/>
              </a:rPr>
              <a:t>《</a:t>
            </a:r>
            <a:r>
              <a:rPr lang="zh-CN" altLang="en-US" sz="600" dirty="0">
                <a:latin typeface="微软雅黑" panose="020B0503020204020204" charset="-122"/>
                <a:ea typeface="微软雅黑" panose="020B0503020204020204" charset="-122"/>
              </a:rPr>
              <a:t>战略合作协议</a:t>
            </a:r>
            <a:r>
              <a:rPr lang="en-US" altLang="zh-CN" sz="600" dirty="0">
                <a:latin typeface="微软雅黑" panose="020B0503020204020204" charset="-122"/>
                <a:ea typeface="微软雅黑" panose="020B0503020204020204" charset="-122"/>
              </a:rPr>
              <a:t>》</a:t>
            </a:r>
            <a:r>
              <a:rPr lang="zh-CN" altLang="en-US" sz="600" dirty="0">
                <a:latin typeface="微软雅黑" panose="020B0503020204020204" charset="-122"/>
                <a:ea typeface="微软雅黑" panose="020B0503020204020204" charset="-122"/>
              </a:rPr>
              <a:t>签订主体</a:t>
            </a:r>
            <a:endParaRPr lang="en-US" altLang="zh-CN" sz="600" dirty="0">
              <a:latin typeface="微软雅黑" panose="020B0503020204020204" charset="-122"/>
              <a:ea typeface="微软雅黑" panose="020B0503020204020204" charset="-122"/>
            </a:endParaRPr>
          </a:p>
        </xdr:txBody>
      </xdr:sp>
    </xdr:grpSp>
    <xdr:clientData/>
  </xdr:twoCellAnchor>
  <xdr:twoCellAnchor>
    <xdr:from>
      <xdr:col>25</xdr:col>
      <xdr:colOff>589707</xdr:colOff>
      <xdr:row>3</xdr:row>
      <xdr:rowOff>74958</xdr:rowOff>
    </xdr:from>
    <xdr:to>
      <xdr:col>26</xdr:col>
      <xdr:colOff>719222</xdr:colOff>
      <xdr:row>5</xdr:row>
      <xdr:rowOff>86376</xdr:rowOff>
    </xdr:to>
    <xdr:cxnSp macro="">
      <xdr:nvCxnSpPr>
        <xdr:cNvPr id="65" name="肘形连接符 64">
          <a:extLst>
            <a:ext uri="{FF2B5EF4-FFF2-40B4-BE49-F238E27FC236}">
              <a16:creationId xmlns:a16="http://schemas.microsoft.com/office/drawing/2014/main" id="{00000000-0008-0000-0100-000041000000}"/>
            </a:ext>
          </a:extLst>
        </xdr:cNvPr>
        <xdr:cNvCxnSpPr>
          <a:stCxn id="33" idx="2"/>
          <a:endCxn id="28" idx="0"/>
        </xdr:cNvCxnSpPr>
      </xdr:nvCxnSpPr>
      <xdr:spPr>
        <a:xfrm rot="16200000" flipH="1">
          <a:off x="17560290" y="1215390"/>
          <a:ext cx="386715" cy="1013460"/>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clientData/>
  </xdr:twoCellAnchor>
  <xdr:twoCellAnchor>
    <xdr:from>
      <xdr:col>37</xdr:col>
      <xdr:colOff>14287</xdr:colOff>
      <xdr:row>1</xdr:row>
      <xdr:rowOff>0</xdr:rowOff>
    </xdr:from>
    <xdr:to>
      <xdr:col>43</xdr:col>
      <xdr:colOff>105091</xdr:colOff>
      <xdr:row>6</xdr:row>
      <xdr:rowOff>100012</xdr:rowOff>
    </xdr:to>
    <xdr:grpSp>
      <xdr:nvGrpSpPr>
        <xdr:cNvPr id="66" name="组合 65">
          <a:extLst>
            <a:ext uri="{FF2B5EF4-FFF2-40B4-BE49-F238E27FC236}">
              <a16:creationId xmlns:a16="http://schemas.microsoft.com/office/drawing/2014/main" id="{00000000-0008-0000-0100-000042000000}"/>
            </a:ext>
          </a:extLst>
        </xdr:cNvPr>
        <xdr:cNvGrpSpPr/>
      </xdr:nvGrpSpPr>
      <xdr:grpSpPr>
        <a:xfrm>
          <a:off x="26789062" y="266700"/>
          <a:ext cx="5702934" cy="1879282"/>
          <a:chOff x="39840" y="370"/>
          <a:chExt cx="6946" cy="2694"/>
        </a:xfrm>
      </xdr:grpSpPr>
      <xdr:sp macro="" textlink="">
        <xdr:nvSpPr>
          <xdr:cNvPr id="67" name="文本框 66">
            <a:extLst>
              <a:ext uri="{FF2B5EF4-FFF2-40B4-BE49-F238E27FC236}">
                <a16:creationId xmlns:a16="http://schemas.microsoft.com/office/drawing/2014/main" id="{00000000-0008-0000-0100-000043000000}"/>
              </a:ext>
            </a:extLst>
          </xdr:cNvPr>
          <xdr:cNvSpPr txBox="1"/>
        </xdr:nvSpPr>
        <xdr:spPr>
          <a:xfrm>
            <a:off x="39840" y="370"/>
            <a:ext cx="2367" cy="379"/>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900" b="1" dirty="0">
                <a:solidFill>
                  <a:srgbClr val="C00000"/>
                </a:solidFill>
                <a:latin typeface="微软雅黑" panose="020B0503020204020204" charset="-122"/>
                <a:ea typeface="微软雅黑" panose="020B0503020204020204" charset="-122"/>
              </a:rPr>
              <a:t>原始架构</a:t>
            </a:r>
          </a:p>
        </xdr:txBody>
      </xdr:sp>
      <xdr:sp macro="" textlink="">
        <xdr:nvSpPr>
          <xdr:cNvPr id="68" name="圆角矩形 6">
            <a:extLst>
              <a:ext uri="{FF2B5EF4-FFF2-40B4-BE49-F238E27FC236}">
                <a16:creationId xmlns:a16="http://schemas.microsoft.com/office/drawing/2014/main" id="{00000000-0008-0000-0100-000044000000}"/>
              </a:ext>
            </a:extLst>
          </xdr:cNvPr>
          <xdr:cNvSpPr/>
        </xdr:nvSpPr>
        <xdr:spPr>
          <a:xfrm>
            <a:off x="42411" y="2571"/>
            <a:ext cx="2319" cy="493"/>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惠州市海景嘉福房地产开发有限公司</a:t>
            </a:r>
          </a:p>
          <a:p>
            <a:pPr algn="ctr"/>
            <a:r>
              <a:rPr lang="zh-CN" altLang="en-US" sz="500" dirty="0">
                <a:solidFill>
                  <a:schemeClr val="tx1"/>
                </a:solidFill>
                <a:latin typeface="微软雅黑" panose="020B0503020204020204" charset="-122"/>
                <a:ea typeface="微软雅黑" panose="020B0503020204020204" charset="-122"/>
              </a:rPr>
              <a:t>（海景嘉福）</a:t>
            </a:r>
          </a:p>
        </xdr:txBody>
      </xdr:sp>
      <xdr:cxnSp macro="">
        <xdr:nvCxnSpPr>
          <xdr:cNvPr id="69" name="连接符: 肘形 8">
            <a:extLst>
              <a:ext uri="{FF2B5EF4-FFF2-40B4-BE49-F238E27FC236}">
                <a16:creationId xmlns:a16="http://schemas.microsoft.com/office/drawing/2014/main" id="{00000000-0008-0000-0100-000045000000}"/>
              </a:ext>
            </a:extLst>
          </xdr:cNvPr>
          <xdr:cNvCxnSpPr>
            <a:stCxn id="76" idx="2"/>
            <a:endCxn id="68" idx="0"/>
          </xdr:cNvCxnSpPr>
        </xdr:nvCxnSpPr>
        <xdr:spPr>
          <a:xfrm rot="16200000" flipH="1">
            <a:off x="41774" y="774"/>
            <a:ext cx="1215" cy="2378"/>
          </a:xfrm>
          <a:prstGeom prst="bentConnector3">
            <a:avLst>
              <a:gd name="adj1" fmla="val 50000"/>
            </a:avLst>
          </a:prstGeom>
        </xdr:spPr>
        <xdr:style>
          <a:lnRef idx="1">
            <a:schemeClr val="accent1"/>
          </a:lnRef>
          <a:fillRef idx="0">
            <a:schemeClr val="accent1"/>
          </a:fillRef>
          <a:effectRef idx="0">
            <a:schemeClr val="accent1"/>
          </a:effectRef>
          <a:fontRef idx="minor">
            <a:schemeClr val="tx1"/>
          </a:fontRef>
        </xdr:style>
      </xdr:cxnSp>
      <xdr:sp macro="" textlink="">
        <xdr:nvSpPr>
          <xdr:cNvPr id="70" name="文本框 69">
            <a:extLst>
              <a:ext uri="{FF2B5EF4-FFF2-40B4-BE49-F238E27FC236}">
                <a16:creationId xmlns:a16="http://schemas.microsoft.com/office/drawing/2014/main" id="{00000000-0008-0000-0100-000046000000}"/>
              </a:ext>
            </a:extLst>
          </xdr:cNvPr>
          <xdr:cNvSpPr txBox="1"/>
        </xdr:nvSpPr>
        <xdr:spPr>
          <a:xfrm>
            <a:off x="45702" y="1634"/>
            <a:ext cx="1084" cy="263"/>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44.1%</a:t>
            </a:r>
          </a:p>
        </xdr:txBody>
      </xdr:sp>
      <xdr:sp macro="" textlink="">
        <xdr:nvSpPr>
          <xdr:cNvPr id="71" name="圆角矩形 1">
            <a:extLst>
              <a:ext uri="{FF2B5EF4-FFF2-40B4-BE49-F238E27FC236}">
                <a16:creationId xmlns:a16="http://schemas.microsoft.com/office/drawing/2014/main" id="{00000000-0008-0000-0100-000047000000}"/>
              </a:ext>
            </a:extLst>
          </xdr:cNvPr>
          <xdr:cNvSpPr/>
        </xdr:nvSpPr>
        <xdr:spPr>
          <a:xfrm>
            <a:off x="42561" y="872"/>
            <a:ext cx="2014" cy="505"/>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杨达红</a:t>
            </a:r>
          </a:p>
        </xdr:txBody>
      </xdr:sp>
      <xdr:sp macro="" textlink="">
        <xdr:nvSpPr>
          <xdr:cNvPr id="72" name="文本框 71">
            <a:extLst>
              <a:ext uri="{FF2B5EF4-FFF2-40B4-BE49-F238E27FC236}">
                <a16:creationId xmlns:a16="http://schemas.microsoft.com/office/drawing/2014/main" id="{00000000-0008-0000-0100-000048000000}"/>
              </a:ext>
            </a:extLst>
          </xdr:cNvPr>
          <xdr:cNvSpPr txBox="1"/>
        </xdr:nvSpPr>
        <xdr:spPr>
          <a:xfrm>
            <a:off x="39897" y="1445"/>
            <a:ext cx="1837" cy="567"/>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 （工商登记）</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（实际收益权</a:t>
            </a:r>
            <a:r>
              <a:rPr lang="en-US" altLang="zh-CN" sz="600" dirty="0">
                <a:latin typeface="微软雅黑" panose="020B0503020204020204" charset="-122"/>
                <a:ea typeface="微软雅黑" panose="020B0503020204020204" charset="-122"/>
              </a:rPr>
              <a:t>20%</a:t>
            </a:r>
            <a:r>
              <a:rPr lang="zh-CN" altLang="en-US" sz="600" dirty="0">
                <a:latin typeface="微软雅黑" panose="020B0503020204020204" charset="-122"/>
                <a:ea typeface="微软雅黑" panose="020B0503020204020204" charset="-122"/>
              </a:rPr>
              <a:t>，</a:t>
            </a:r>
            <a:r>
              <a:rPr lang="en-US" altLang="zh-CN" sz="600" dirty="0">
                <a:latin typeface="微软雅黑" panose="020B0503020204020204" charset="-122"/>
                <a:ea typeface="微软雅黑" panose="020B0503020204020204" charset="-122"/>
              </a:rPr>
              <a:t>31%</a:t>
            </a:r>
            <a:r>
              <a:rPr lang="zh-CN" altLang="en-US" sz="600" dirty="0">
                <a:latin typeface="微软雅黑" panose="020B0503020204020204" charset="-122"/>
                <a:ea typeface="微软雅黑" panose="020B0503020204020204" charset="-122"/>
              </a:rPr>
              <a:t>股权代持）</a:t>
            </a:r>
          </a:p>
        </xdr:txBody>
      </xdr:sp>
      <xdr:sp macro="" textlink="">
        <xdr:nvSpPr>
          <xdr:cNvPr id="73" name="文本框 72">
            <a:extLst>
              <a:ext uri="{FF2B5EF4-FFF2-40B4-BE49-F238E27FC236}">
                <a16:creationId xmlns:a16="http://schemas.microsoft.com/office/drawing/2014/main" id="{00000000-0008-0000-0100-000049000000}"/>
              </a:ext>
            </a:extLst>
          </xdr:cNvPr>
          <xdr:cNvSpPr txBox="1"/>
        </xdr:nvSpPr>
        <xdr:spPr>
          <a:xfrm>
            <a:off x="43314" y="1627"/>
            <a:ext cx="952" cy="273"/>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4.9%</a:t>
            </a:r>
          </a:p>
        </xdr:txBody>
      </xdr:sp>
      <xdr:cxnSp macro="">
        <xdr:nvCxnSpPr>
          <xdr:cNvPr id="74" name="肘形连接符 79">
            <a:extLst>
              <a:ext uri="{FF2B5EF4-FFF2-40B4-BE49-F238E27FC236}">
                <a16:creationId xmlns:a16="http://schemas.microsoft.com/office/drawing/2014/main" id="{00000000-0008-0000-0100-00004A000000}"/>
              </a:ext>
            </a:extLst>
          </xdr:cNvPr>
          <xdr:cNvCxnSpPr>
            <a:stCxn id="79" idx="2"/>
            <a:endCxn id="68" idx="0"/>
          </xdr:cNvCxnSpPr>
        </xdr:nvCxnSpPr>
        <xdr:spPr>
          <a:xfrm rot="5400000">
            <a:off x="43947" y="1024"/>
            <a:ext cx="1170" cy="1923"/>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cxnSp macro="">
        <xdr:nvCxnSpPr>
          <xdr:cNvPr id="75" name="肘形连接符 86">
            <a:extLst>
              <a:ext uri="{FF2B5EF4-FFF2-40B4-BE49-F238E27FC236}">
                <a16:creationId xmlns:a16="http://schemas.microsoft.com/office/drawing/2014/main" id="{00000000-0008-0000-0100-00004B000000}"/>
              </a:ext>
            </a:extLst>
          </xdr:cNvPr>
          <xdr:cNvCxnSpPr>
            <a:stCxn id="71" idx="2"/>
            <a:endCxn id="68" idx="0"/>
          </xdr:cNvCxnSpPr>
        </xdr:nvCxnSpPr>
        <xdr:spPr>
          <a:xfrm rot="16200000" flipH="1">
            <a:off x="42972" y="1973"/>
            <a:ext cx="1194" cy="3"/>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xdr:from>
      <xdr:col>37</xdr:col>
      <xdr:colOff>76198</xdr:colOff>
      <xdr:row>1</xdr:row>
      <xdr:rowOff>323850</xdr:rowOff>
    </xdr:from>
    <xdr:to>
      <xdr:col>38</xdr:col>
      <xdr:colOff>895351</xdr:colOff>
      <xdr:row>2</xdr:row>
      <xdr:rowOff>295275</xdr:rowOff>
    </xdr:to>
    <xdr:sp macro="" textlink="">
      <xdr:nvSpPr>
        <xdr:cNvPr id="76" name="圆角矩形 5">
          <a:extLst>
            <a:ext uri="{FF2B5EF4-FFF2-40B4-BE49-F238E27FC236}">
              <a16:creationId xmlns:a16="http://schemas.microsoft.com/office/drawing/2014/main" id="{00000000-0008-0000-0100-00004C000000}"/>
            </a:ext>
          </a:extLst>
        </xdr:cNvPr>
        <xdr:cNvSpPr/>
      </xdr:nvSpPr>
      <xdr:spPr>
        <a:xfrm>
          <a:off x="26811605" y="590550"/>
          <a:ext cx="1505585" cy="301625"/>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珠海横琴隽福项目投资合伙企业</a:t>
          </a:r>
        </a:p>
        <a:p>
          <a:pPr algn="ct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a:t>
          </a:r>
        </a:p>
      </xdr:txBody>
    </xdr:sp>
    <xdr:clientData/>
  </xdr:twoCellAnchor>
  <xdr:twoCellAnchor>
    <xdr:from>
      <xdr:col>45</xdr:col>
      <xdr:colOff>694904</xdr:colOff>
      <xdr:row>2</xdr:row>
      <xdr:rowOff>487689</xdr:rowOff>
    </xdr:from>
    <xdr:to>
      <xdr:col>47</xdr:col>
      <xdr:colOff>61065</xdr:colOff>
      <xdr:row>2</xdr:row>
      <xdr:rowOff>639325</xdr:rowOff>
    </xdr:to>
    <xdr:sp macro="" textlink="">
      <xdr:nvSpPr>
        <xdr:cNvPr id="77" name="文本框 76">
          <a:extLst>
            <a:ext uri="{FF2B5EF4-FFF2-40B4-BE49-F238E27FC236}">
              <a16:creationId xmlns:a16="http://schemas.microsoft.com/office/drawing/2014/main" id="{00000000-0008-0000-0100-00004D000000}"/>
            </a:ext>
          </a:extLst>
        </xdr:cNvPr>
        <xdr:cNvSpPr txBox="1"/>
      </xdr:nvSpPr>
      <xdr:spPr>
        <a:xfrm>
          <a:off x="34635440" y="1084580"/>
          <a:ext cx="1087120" cy="151130"/>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44.1%</a:t>
          </a:r>
        </a:p>
      </xdr:txBody>
    </xdr:sp>
    <xdr:clientData/>
  </xdr:twoCellAnchor>
  <xdr:twoCellAnchor>
    <xdr:from>
      <xdr:col>43</xdr:col>
      <xdr:colOff>1038147</xdr:colOff>
      <xdr:row>2</xdr:row>
      <xdr:rowOff>500742</xdr:rowOff>
    </xdr:from>
    <xdr:to>
      <xdr:col>45</xdr:col>
      <xdr:colOff>0</xdr:colOff>
      <xdr:row>3</xdr:row>
      <xdr:rowOff>119249</xdr:rowOff>
    </xdr:to>
    <xdr:sp macro="" textlink="">
      <xdr:nvSpPr>
        <xdr:cNvPr id="78" name="文本框 77">
          <a:extLst>
            <a:ext uri="{FF2B5EF4-FFF2-40B4-BE49-F238E27FC236}">
              <a16:creationId xmlns:a16="http://schemas.microsoft.com/office/drawing/2014/main" id="{00000000-0008-0000-0100-00004E000000}"/>
            </a:ext>
          </a:extLst>
        </xdr:cNvPr>
        <xdr:cNvSpPr txBox="1"/>
      </xdr:nvSpPr>
      <xdr:spPr>
        <a:xfrm>
          <a:off x="33202880" y="1097280"/>
          <a:ext cx="868680" cy="475615"/>
        </a:xfrm>
        <a:prstGeom prst="rect">
          <a:avLst/>
        </a:prstGeom>
        <a:noFill/>
      </xdr:spPr>
      <xdr:txBody>
        <a:bodyPr wrap="square" rtlCol="0">
          <a:no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 （工商登记）</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（实际全盘操盘</a:t>
          </a:r>
          <a:r>
            <a:rPr lang="en-US" altLang="zh-CN" sz="600" dirty="0">
              <a:latin typeface="微软雅黑" panose="020B0503020204020204" charset="-122"/>
              <a:ea typeface="微软雅黑" panose="020B0503020204020204" charset="-122"/>
            </a:rPr>
            <a:t>100%</a:t>
          </a:r>
          <a:r>
            <a:rPr lang="zh-CN" altLang="en-US" sz="600" dirty="0">
              <a:latin typeface="微软雅黑" panose="020B0503020204020204" charset="-122"/>
              <a:ea typeface="微软雅黑" panose="020B0503020204020204" charset="-122"/>
            </a:rPr>
            <a:t>）</a:t>
          </a:r>
        </a:p>
      </xdr:txBody>
    </xdr:sp>
    <xdr:clientData/>
  </xdr:twoCellAnchor>
  <xdr:twoCellAnchor>
    <xdr:from>
      <xdr:col>41</xdr:col>
      <xdr:colOff>519114</xdr:colOff>
      <xdr:row>1</xdr:row>
      <xdr:rowOff>328609</xdr:rowOff>
    </xdr:from>
    <xdr:to>
      <xdr:col>42</xdr:col>
      <xdr:colOff>485776</xdr:colOff>
      <xdr:row>2</xdr:row>
      <xdr:rowOff>323849</xdr:rowOff>
    </xdr:to>
    <xdr:sp macro="" textlink="">
      <xdr:nvSpPr>
        <xdr:cNvPr id="79" name="圆角矩形 1">
          <a:extLst>
            <a:ext uri="{FF2B5EF4-FFF2-40B4-BE49-F238E27FC236}">
              <a16:creationId xmlns:a16="http://schemas.microsoft.com/office/drawing/2014/main" id="{00000000-0008-0000-0100-00004F000000}"/>
            </a:ext>
          </a:extLst>
        </xdr:cNvPr>
        <xdr:cNvSpPr/>
      </xdr:nvSpPr>
      <xdr:spPr>
        <a:xfrm>
          <a:off x="31501715" y="594995"/>
          <a:ext cx="642620" cy="32512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孙艳芳</a:t>
          </a:r>
        </a:p>
      </xdr:txBody>
    </xdr:sp>
    <xdr:clientData/>
  </xdr:twoCellAnchor>
  <xdr:twoCellAnchor>
    <xdr:from>
      <xdr:col>43</xdr:col>
      <xdr:colOff>327693</xdr:colOff>
      <xdr:row>2</xdr:row>
      <xdr:rowOff>42862</xdr:rowOff>
    </xdr:from>
    <xdr:to>
      <xdr:col>46</xdr:col>
      <xdr:colOff>590549</xdr:colOff>
      <xdr:row>6</xdr:row>
      <xdr:rowOff>85725</xdr:rowOff>
    </xdr:to>
    <xdr:grpSp>
      <xdr:nvGrpSpPr>
        <xdr:cNvPr id="80" name="组合 79">
          <a:extLst>
            <a:ext uri="{FF2B5EF4-FFF2-40B4-BE49-F238E27FC236}">
              <a16:creationId xmlns:a16="http://schemas.microsoft.com/office/drawing/2014/main" id="{00000000-0008-0000-0100-000050000000}"/>
            </a:ext>
          </a:extLst>
        </xdr:cNvPr>
        <xdr:cNvGrpSpPr/>
      </xdr:nvGrpSpPr>
      <xdr:grpSpPr>
        <a:xfrm>
          <a:off x="32716503" y="637222"/>
          <a:ext cx="2564096" cy="1488758"/>
          <a:chOff x="31469681" y="257175"/>
          <a:chExt cx="7100056" cy="1473517"/>
        </a:xfrm>
      </xdr:grpSpPr>
      <xdr:sp macro="" textlink="">
        <xdr:nvSpPr>
          <xdr:cNvPr id="81" name="圆角矩形 6">
            <a:extLst>
              <a:ext uri="{FF2B5EF4-FFF2-40B4-BE49-F238E27FC236}">
                <a16:creationId xmlns:a16="http://schemas.microsoft.com/office/drawing/2014/main" id="{00000000-0008-0000-0100-000051000000}"/>
              </a:ext>
            </a:extLst>
          </xdr:cNvPr>
          <xdr:cNvSpPr/>
        </xdr:nvSpPr>
        <xdr:spPr>
          <a:xfrm>
            <a:off x="33716823" y="1447223"/>
            <a:ext cx="2628197" cy="283469"/>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惠州市海景嘉福房地产开发有限公司</a:t>
            </a:r>
          </a:p>
          <a:p>
            <a:pPr algn="ctr"/>
            <a:r>
              <a:rPr lang="zh-CN" altLang="en-US" sz="500" dirty="0">
                <a:solidFill>
                  <a:schemeClr val="tx1"/>
                </a:solidFill>
                <a:latin typeface="微软雅黑" panose="020B0503020204020204" charset="-122"/>
                <a:ea typeface="微软雅黑" panose="020B0503020204020204" charset="-122"/>
              </a:rPr>
              <a:t>（海景嘉福）</a:t>
            </a:r>
          </a:p>
        </xdr:txBody>
      </xdr:sp>
      <xdr:sp macro="" textlink="">
        <xdr:nvSpPr>
          <xdr:cNvPr id="82" name="圆角矩形 1">
            <a:extLst>
              <a:ext uri="{FF2B5EF4-FFF2-40B4-BE49-F238E27FC236}">
                <a16:creationId xmlns:a16="http://schemas.microsoft.com/office/drawing/2014/main" id="{00000000-0008-0000-0100-000052000000}"/>
              </a:ext>
            </a:extLst>
          </xdr:cNvPr>
          <xdr:cNvSpPr/>
        </xdr:nvSpPr>
        <xdr:spPr>
          <a:xfrm>
            <a:off x="34016350" y="260004"/>
            <a:ext cx="1996722" cy="282903"/>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杨达红</a:t>
            </a:r>
          </a:p>
        </xdr:txBody>
      </xdr:sp>
      <xdr:cxnSp macro="">
        <xdr:nvCxnSpPr>
          <xdr:cNvPr id="83" name="肘形连接符 58">
            <a:extLst>
              <a:ext uri="{FF2B5EF4-FFF2-40B4-BE49-F238E27FC236}">
                <a16:creationId xmlns:a16="http://schemas.microsoft.com/office/drawing/2014/main" id="{00000000-0008-0000-0100-000053000000}"/>
              </a:ext>
            </a:extLst>
          </xdr:cNvPr>
          <xdr:cNvCxnSpPr>
            <a:stCxn id="85" idx="2"/>
            <a:endCxn id="81" idx="0"/>
          </xdr:cNvCxnSpPr>
        </xdr:nvCxnSpPr>
        <xdr:spPr>
          <a:xfrm rot="5400000">
            <a:off x="35849840" y="-274313"/>
            <a:ext cx="902618" cy="2540454"/>
          </a:xfrm>
          <a:prstGeom prst="bentConnector3">
            <a:avLst>
              <a:gd name="adj1" fmla="val 50000"/>
            </a:avLst>
          </a:prstGeom>
          <a:ln>
            <a:prstDash val="sysDash"/>
          </a:ln>
        </xdr:spPr>
        <xdr:style>
          <a:lnRef idx="2">
            <a:schemeClr val="accent1"/>
          </a:lnRef>
          <a:fillRef idx="0">
            <a:srgbClr val="FFFFFF"/>
          </a:fillRef>
          <a:effectRef idx="0">
            <a:srgbClr val="FFFFFF"/>
          </a:effectRef>
          <a:fontRef idx="minor">
            <a:schemeClr val="tx1"/>
          </a:fontRef>
        </xdr:style>
      </xdr:cxnSp>
      <xdr:sp macro="" textlink="">
        <xdr:nvSpPr>
          <xdr:cNvPr id="84" name="圆角矩形 5">
            <a:extLst>
              <a:ext uri="{FF2B5EF4-FFF2-40B4-BE49-F238E27FC236}">
                <a16:creationId xmlns:a16="http://schemas.microsoft.com/office/drawing/2014/main" id="{00000000-0008-0000-0100-000054000000}"/>
              </a:ext>
            </a:extLst>
          </xdr:cNvPr>
          <xdr:cNvSpPr/>
        </xdr:nvSpPr>
        <xdr:spPr>
          <a:xfrm>
            <a:off x="31469681" y="257175"/>
            <a:ext cx="2105882" cy="284035"/>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珠海横琴隽福项目投资合伙企业</a:t>
            </a:r>
          </a:p>
          <a:p>
            <a:pPr algn="ct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a:t>
            </a:r>
          </a:p>
        </xdr:txBody>
      </xdr:sp>
      <xdr:sp macro="" textlink="">
        <xdr:nvSpPr>
          <xdr:cNvPr id="85" name="圆角矩形 1">
            <a:extLst>
              <a:ext uri="{FF2B5EF4-FFF2-40B4-BE49-F238E27FC236}">
                <a16:creationId xmlns:a16="http://schemas.microsoft.com/office/drawing/2014/main" id="{00000000-0008-0000-0100-000055000000}"/>
              </a:ext>
            </a:extLst>
          </xdr:cNvPr>
          <xdr:cNvSpPr/>
        </xdr:nvSpPr>
        <xdr:spPr>
          <a:xfrm>
            <a:off x="36573015" y="260570"/>
            <a:ext cx="1996722" cy="284035"/>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孙艳芳</a:t>
            </a:r>
          </a:p>
        </xdr:txBody>
      </xdr:sp>
      <xdr:cxnSp macro="">
        <xdr:nvCxnSpPr>
          <xdr:cNvPr id="86" name="连接符: 肘形 151">
            <a:extLst>
              <a:ext uri="{FF2B5EF4-FFF2-40B4-BE49-F238E27FC236}">
                <a16:creationId xmlns:a16="http://schemas.microsoft.com/office/drawing/2014/main" id="{00000000-0008-0000-0100-000056000000}"/>
              </a:ext>
            </a:extLst>
          </xdr:cNvPr>
          <xdr:cNvCxnSpPr/>
        </xdr:nvCxnSpPr>
        <xdr:spPr>
          <a:xfrm rot="16200000" flipH="1">
            <a:off x="33301240" y="-287223"/>
            <a:ext cx="906013" cy="2562878"/>
          </a:xfrm>
          <a:prstGeom prst="bentConnector3">
            <a:avLst/>
          </a:prstGeom>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25</xdr:col>
      <xdr:colOff>119699</xdr:colOff>
      <xdr:row>2</xdr:row>
      <xdr:rowOff>652461</xdr:rowOff>
    </xdr:from>
    <xdr:to>
      <xdr:col>26</xdr:col>
      <xdr:colOff>304800</xdr:colOff>
      <xdr:row>3</xdr:row>
      <xdr:rowOff>33336</xdr:rowOff>
    </xdr:to>
    <xdr:sp macro="" textlink="">
      <xdr:nvSpPr>
        <xdr:cNvPr id="87" name="圆角矩形 1">
          <a:extLst>
            <a:ext uri="{FF2B5EF4-FFF2-40B4-BE49-F238E27FC236}">
              <a16:creationId xmlns:a16="http://schemas.microsoft.com/office/drawing/2014/main" id="{00000000-0008-0000-0100-000057000000}"/>
            </a:ext>
          </a:extLst>
        </xdr:cNvPr>
        <xdr:cNvSpPr/>
      </xdr:nvSpPr>
      <xdr:spPr>
        <a:xfrm>
          <a:off x="16776700" y="1249045"/>
          <a:ext cx="1069340" cy="238125"/>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惠州市合景经济信息咨询有限公司</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6985</xdr:colOff>
      <xdr:row>2</xdr:row>
      <xdr:rowOff>0</xdr:rowOff>
    </xdr:from>
    <xdr:to>
      <xdr:col>6</xdr:col>
      <xdr:colOff>222250</xdr:colOff>
      <xdr:row>10</xdr:row>
      <xdr:rowOff>165735</xdr:rowOff>
    </xdr:to>
    <xdr:grpSp>
      <xdr:nvGrpSpPr>
        <xdr:cNvPr id="2" name="组合 1">
          <a:extLst>
            <a:ext uri="{FF2B5EF4-FFF2-40B4-BE49-F238E27FC236}">
              <a16:creationId xmlns:a16="http://schemas.microsoft.com/office/drawing/2014/main" id="{00000000-0008-0000-0200-000002000000}"/>
            </a:ext>
          </a:extLst>
        </xdr:cNvPr>
        <xdr:cNvGrpSpPr/>
      </xdr:nvGrpSpPr>
      <xdr:grpSpPr>
        <a:xfrm>
          <a:off x="225213" y="482600"/>
          <a:ext cx="5790142" cy="0"/>
          <a:chOff x="39840" y="370"/>
          <a:chExt cx="7161" cy="2694"/>
        </a:xfrm>
      </xdr:grpSpPr>
      <xdr:sp macro="" textlink="">
        <xdr:nvSpPr>
          <xdr:cNvPr id="3" name="文本框 2">
            <a:extLst>
              <a:ext uri="{FF2B5EF4-FFF2-40B4-BE49-F238E27FC236}">
                <a16:creationId xmlns:a16="http://schemas.microsoft.com/office/drawing/2014/main" id="{00000000-0008-0000-0200-000003000000}"/>
              </a:ext>
            </a:extLst>
          </xdr:cNvPr>
          <xdr:cNvSpPr txBox="1"/>
        </xdr:nvSpPr>
        <xdr:spPr>
          <a:xfrm>
            <a:off x="39840" y="370"/>
            <a:ext cx="2367" cy="379"/>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900" b="1" dirty="0">
                <a:solidFill>
                  <a:srgbClr val="C00000"/>
                </a:solidFill>
                <a:latin typeface="微软雅黑" panose="020B0503020204020204" charset="-122"/>
                <a:ea typeface="微软雅黑" panose="020B0503020204020204" charset="-122"/>
              </a:rPr>
              <a:t>原始架构</a:t>
            </a:r>
          </a:p>
        </xdr:txBody>
      </xdr:sp>
      <xdr:sp macro="" textlink="">
        <xdr:nvSpPr>
          <xdr:cNvPr id="6" name="圆角矩形 6">
            <a:extLst>
              <a:ext uri="{FF2B5EF4-FFF2-40B4-BE49-F238E27FC236}">
                <a16:creationId xmlns:a16="http://schemas.microsoft.com/office/drawing/2014/main" id="{00000000-0008-0000-0200-000006000000}"/>
              </a:ext>
            </a:extLst>
          </xdr:cNvPr>
          <xdr:cNvSpPr/>
        </xdr:nvSpPr>
        <xdr:spPr>
          <a:xfrm>
            <a:off x="41873" y="2571"/>
            <a:ext cx="2319" cy="493"/>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惠州市海景嘉福房地产开发有限公司</a:t>
            </a:r>
          </a:p>
          <a:p>
            <a:pPr algn="ctr"/>
            <a:r>
              <a:rPr lang="zh-CN" altLang="en-US" sz="500" dirty="0">
                <a:solidFill>
                  <a:schemeClr val="tx1"/>
                </a:solidFill>
                <a:latin typeface="微软雅黑" panose="020B0503020204020204" charset="-122"/>
                <a:ea typeface="微软雅黑" panose="020B0503020204020204" charset="-122"/>
              </a:rPr>
              <a:t>（海景嘉福）</a:t>
            </a:r>
          </a:p>
        </xdr:txBody>
      </xdr:sp>
      <xdr:cxnSp macro="">
        <xdr:nvCxnSpPr>
          <xdr:cNvPr id="7" name="连接符: 肘形 8">
            <a:extLst>
              <a:ext uri="{FF2B5EF4-FFF2-40B4-BE49-F238E27FC236}">
                <a16:creationId xmlns:a16="http://schemas.microsoft.com/office/drawing/2014/main" id="{00000000-0008-0000-0200-000007000000}"/>
              </a:ext>
            </a:extLst>
          </xdr:cNvPr>
          <xdr:cNvCxnSpPr>
            <a:stCxn id="4" idx="2"/>
            <a:endCxn id="6" idx="0"/>
          </xdr:cNvCxnSpPr>
        </xdr:nvCxnSpPr>
        <xdr:spPr>
          <a:xfrm rot="5400000" flipV="1">
            <a:off x="41377" y="915"/>
            <a:ext cx="1161" cy="2152"/>
          </a:xfrm>
          <a:prstGeom prst="bentConnector3">
            <a:avLst>
              <a:gd name="adj1" fmla="val 49958"/>
            </a:avLst>
          </a:prstGeom>
        </xdr:spPr>
        <xdr:style>
          <a:lnRef idx="1">
            <a:schemeClr val="accent1"/>
          </a:lnRef>
          <a:fillRef idx="0">
            <a:schemeClr val="accent1"/>
          </a:fillRef>
          <a:effectRef idx="0">
            <a:schemeClr val="accent1"/>
          </a:effectRef>
          <a:fontRef idx="minor">
            <a:schemeClr val="tx1"/>
          </a:fontRef>
        </xdr:style>
      </xdr:cxnSp>
      <xdr:sp macro="" textlink="">
        <xdr:nvSpPr>
          <xdr:cNvPr id="8" name="文本框 7">
            <a:extLst>
              <a:ext uri="{FF2B5EF4-FFF2-40B4-BE49-F238E27FC236}">
                <a16:creationId xmlns:a16="http://schemas.microsoft.com/office/drawing/2014/main" id="{00000000-0008-0000-0200-000008000000}"/>
              </a:ext>
            </a:extLst>
          </xdr:cNvPr>
          <xdr:cNvSpPr txBox="1"/>
        </xdr:nvSpPr>
        <xdr:spPr>
          <a:xfrm>
            <a:off x="45917" y="1445"/>
            <a:ext cx="1084" cy="263"/>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44.1%</a:t>
            </a:r>
          </a:p>
        </xdr:txBody>
      </xdr:sp>
      <xdr:sp macro="" textlink="">
        <xdr:nvSpPr>
          <xdr:cNvPr id="9" name="圆角矩形 1">
            <a:extLst>
              <a:ext uri="{FF2B5EF4-FFF2-40B4-BE49-F238E27FC236}">
                <a16:creationId xmlns:a16="http://schemas.microsoft.com/office/drawing/2014/main" id="{00000000-0008-0000-0200-000009000000}"/>
              </a:ext>
            </a:extLst>
          </xdr:cNvPr>
          <xdr:cNvSpPr/>
        </xdr:nvSpPr>
        <xdr:spPr>
          <a:xfrm>
            <a:off x="42305" y="927"/>
            <a:ext cx="2092" cy="493"/>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杨达红</a:t>
            </a:r>
          </a:p>
        </xdr:txBody>
      </xdr:sp>
      <xdr:sp macro="" textlink="">
        <xdr:nvSpPr>
          <xdr:cNvPr id="10" name="文本框 9">
            <a:extLst>
              <a:ext uri="{FF2B5EF4-FFF2-40B4-BE49-F238E27FC236}">
                <a16:creationId xmlns:a16="http://schemas.microsoft.com/office/drawing/2014/main" id="{00000000-0008-0000-0200-00000A000000}"/>
              </a:ext>
            </a:extLst>
          </xdr:cNvPr>
          <xdr:cNvSpPr txBox="1"/>
        </xdr:nvSpPr>
        <xdr:spPr>
          <a:xfrm>
            <a:off x="39897" y="1445"/>
            <a:ext cx="1837" cy="567"/>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 （工商登记）</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（实际收益权</a:t>
            </a:r>
            <a:r>
              <a:rPr lang="en-US" altLang="zh-CN" sz="600" dirty="0">
                <a:latin typeface="微软雅黑" panose="020B0503020204020204" charset="-122"/>
                <a:ea typeface="微软雅黑" panose="020B0503020204020204" charset="-122"/>
              </a:rPr>
              <a:t>20%</a:t>
            </a:r>
            <a:r>
              <a:rPr lang="zh-CN" altLang="en-US" sz="600" dirty="0">
                <a:latin typeface="微软雅黑" panose="020B0503020204020204" charset="-122"/>
                <a:ea typeface="微软雅黑" panose="020B0503020204020204" charset="-122"/>
              </a:rPr>
              <a:t>，</a:t>
            </a:r>
            <a:r>
              <a:rPr lang="en-US" altLang="zh-CN" sz="600" dirty="0">
                <a:latin typeface="微软雅黑" panose="020B0503020204020204" charset="-122"/>
                <a:ea typeface="微软雅黑" panose="020B0503020204020204" charset="-122"/>
              </a:rPr>
              <a:t>31%</a:t>
            </a:r>
            <a:r>
              <a:rPr lang="zh-CN" altLang="en-US" sz="600" dirty="0">
                <a:latin typeface="微软雅黑" panose="020B0503020204020204" charset="-122"/>
                <a:ea typeface="微软雅黑" panose="020B0503020204020204" charset="-122"/>
              </a:rPr>
              <a:t>股权代持）</a:t>
            </a:r>
          </a:p>
        </xdr:txBody>
      </xdr:sp>
      <xdr:sp macro="" textlink="">
        <xdr:nvSpPr>
          <xdr:cNvPr id="11" name="文本框 10">
            <a:extLst>
              <a:ext uri="{FF2B5EF4-FFF2-40B4-BE49-F238E27FC236}">
                <a16:creationId xmlns:a16="http://schemas.microsoft.com/office/drawing/2014/main" id="{00000000-0008-0000-0200-00000B000000}"/>
              </a:ext>
            </a:extLst>
          </xdr:cNvPr>
          <xdr:cNvSpPr txBox="1"/>
        </xdr:nvSpPr>
        <xdr:spPr>
          <a:xfrm>
            <a:off x="43352" y="1414"/>
            <a:ext cx="952" cy="273"/>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4.9%</a:t>
            </a:r>
          </a:p>
        </xdr:txBody>
      </xdr:sp>
      <xdr:cxnSp macro="">
        <xdr:nvCxnSpPr>
          <xdr:cNvPr id="12" name="肘形连接符 79">
            <a:extLst>
              <a:ext uri="{FF2B5EF4-FFF2-40B4-BE49-F238E27FC236}">
                <a16:creationId xmlns:a16="http://schemas.microsoft.com/office/drawing/2014/main" id="{00000000-0008-0000-0200-00000C000000}"/>
              </a:ext>
            </a:extLst>
          </xdr:cNvPr>
          <xdr:cNvCxnSpPr>
            <a:stCxn id="5" idx="2"/>
            <a:endCxn id="6" idx="0"/>
          </xdr:cNvCxnSpPr>
        </xdr:nvCxnSpPr>
        <xdr:spPr>
          <a:xfrm rot="5400000">
            <a:off x="43888" y="566"/>
            <a:ext cx="1151" cy="2860"/>
          </a:xfrm>
          <a:prstGeom prst="bentConnector3">
            <a:avLst>
              <a:gd name="adj1" fmla="val 49957"/>
            </a:avLst>
          </a:prstGeom>
        </xdr:spPr>
        <xdr:style>
          <a:lnRef idx="2">
            <a:schemeClr val="accent1"/>
          </a:lnRef>
          <a:fillRef idx="0">
            <a:srgbClr val="FFFFFF"/>
          </a:fillRef>
          <a:effectRef idx="0">
            <a:srgbClr val="FFFFFF"/>
          </a:effectRef>
          <a:fontRef idx="minor">
            <a:schemeClr val="tx1"/>
          </a:fontRef>
        </xdr:style>
      </xdr:cxnSp>
      <xdr:cxnSp macro="">
        <xdr:nvCxnSpPr>
          <xdr:cNvPr id="13" name="肘形连接符 86">
            <a:extLst>
              <a:ext uri="{FF2B5EF4-FFF2-40B4-BE49-F238E27FC236}">
                <a16:creationId xmlns:a16="http://schemas.microsoft.com/office/drawing/2014/main" id="{00000000-0008-0000-0200-00000D000000}"/>
              </a:ext>
            </a:extLst>
          </xdr:cNvPr>
          <xdr:cNvCxnSpPr>
            <a:stCxn id="9" idx="2"/>
            <a:endCxn id="6" idx="0"/>
          </xdr:cNvCxnSpPr>
        </xdr:nvCxnSpPr>
        <xdr:spPr>
          <a:xfrm rot="5400000">
            <a:off x="42616" y="1836"/>
            <a:ext cx="1152" cy="318"/>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grpSp>
    <xdr:clientData/>
  </xdr:twoCellAnchor>
  <xdr:twoCellAnchor>
    <xdr:from>
      <xdr:col>9</xdr:col>
      <xdr:colOff>205422</xdr:colOff>
      <xdr:row>5</xdr:row>
      <xdr:rowOff>51117</xdr:rowOff>
    </xdr:from>
    <xdr:to>
      <xdr:col>12</xdr:col>
      <xdr:colOff>18097</xdr:colOff>
      <xdr:row>8</xdr:row>
      <xdr:rowOff>164147</xdr:rowOff>
    </xdr:to>
    <xdr:cxnSp macro="">
      <xdr:nvCxnSpPr>
        <xdr:cNvPr id="51" name="连接符: 肘形 8">
          <a:extLst>
            <a:ext uri="{FF2B5EF4-FFF2-40B4-BE49-F238E27FC236}">
              <a16:creationId xmlns:a16="http://schemas.microsoft.com/office/drawing/2014/main" id="{00000000-0008-0000-0200-000033000000}"/>
            </a:ext>
          </a:extLst>
        </xdr:cNvPr>
        <xdr:cNvCxnSpPr>
          <a:stCxn id="53" idx="2"/>
          <a:endCxn id="55" idx="0"/>
        </xdr:cNvCxnSpPr>
      </xdr:nvCxnSpPr>
      <xdr:spPr>
        <a:xfrm rot="16200000" flipH="1">
          <a:off x="10055225" y="-778510"/>
          <a:ext cx="0" cy="2509520"/>
        </a:xfrm>
        <a:prstGeom prst="bentConnector3">
          <a:avLst>
            <a:gd name="adj1" fmla="val 50000"/>
          </a:avLst>
        </a:prstGeom>
        <a:ln>
          <a:prstDash val="sys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855345</xdr:colOff>
      <xdr:row>2</xdr:row>
      <xdr:rowOff>0</xdr:rowOff>
    </xdr:from>
    <xdr:to>
      <xdr:col>10</xdr:col>
      <xdr:colOff>580390</xdr:colOff>
      <xdr:row>3</xdr:row>
      <xdr:rowOff>30480</xdr:rowOff>
    </xdr:to>
    <xdr:sp macro="" textlink="">
      <xdr:nvSpPr>
        <xdr:cNvPr id="52" name="文本框 51">
          <a:extLst>
            <a:ext uri="{FF2B5EF4-FFF2-40B4-BE49-F238E27FC236}">
              <a16:creationId xmlns:a16="http://schemas.microsoft.com/office/drawing/2014/main" id="{00000000-0008-0000-0200-000034000000}"/>
            </a:ext>
          </a:extLst>
        </xdr:cNvPr>
        <xdr:cNvSpPr txBox="1"/>
      </xdr:nvSpPr>
      <xdr:spPr>
        <a:xfrm>
          <a:off x="7601585" y="476250"/>
          <a:ext cx="2534285" cy="0"/>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900" b="1" dirty="0">
              <a:solidFill>
                <a:srgbClr val="C00000"/>
              </a:solidFill>
              <a:latin typeface="微软雅黑" panose="020B0503020204020204" charset="-122"/>
              <a:ea typeface="微软雅黑" panose="020B0503020204020204" charset="-122"/>
            </a:rPr>
            <a:t>和解协议后</a:t>
          </a:r>
        </a:p>
      </xdr:txBody>
    </xdr:sp>
    <xdr:clientData/>
  </xdr:twoCellAnchor>
  <xdr:twoCellAnchor editAs="oneCell">
    <xdr:from>
      <xdr:col>19</xdr:col>
      <xdr:colOff>19050</xdr:colOff>
      <xdr:row>39</xdr:row>
      <xdr:rowOff>57149</xdr:rowOff>
    </xdr:from>
    <xdr:to>
      <xdr:col>23</xdr:col>
      <xdr:colOff>21273</xdr:colOff>
      <xdr:row>78</xdr:row>
      <xdr:rowOff>116627</xdr:rowOff>
    </xdr:to>
    <xdr:pic>
      <xdr:nvPicPr>
        <xdr:cNvPr id="14" name="图片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1"/>
        <a:stretch>
          <a:fillRect/>
        </a:stretch>
      </xdr:blipFill>
      <xdr:spPr>
        <a:xfrm>
          <a:off x="16244570" y="3140075"/>
          <a:ext cx="3132455" cy="3582035"/>
        </a:xfrm>
        <a:prstGeom prst="rect">
          <a:avLst/>
        </a:prstGeom>
        <a:noFill/>
        <a:ln w="9525">
          <a:noFill/>
        </a:ln>
      </xdr:spPr>
    </xdr:pic>
    <xdr:clientData/>
  </xdr:twoCellAnchor>
  <xdr:twoCellAnchor editAs="oneCell">
    <xdr:from>
      <xdr:col>23</xdr:col>
      <xdr:colOff>464081</xdr:colOff>
      <xdr:row>39</xdr:row>
      <xdr:rowOff>57149</xdr:rowOff>
    </xdr:from>
    <xdr:to>
      <xdr:col>28</xdr:col>
      <xdr:colOff>45720</xdr:colOff>
      <xdr:row>78</xdr:row>
      <xdr:rowOff>102425</xdr:rowOff>
    </xdr:to>
    <xdr:pic>
      <xdr:nvPicPr>
        <xdr:cNvPr id="15" name="图片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2"/>
        <a:stretch>
          <a:fillRect/>
        </a:stretch>
      </xdr:blipFill>
      <xdr:spPr>
        <a:xfrm>
          <a:off x="19823430" y="3140075"/>
          <a:ext cx="2911475" cy="3564255"/>
        </a:xfrm>
        <a:prstGeom prst="rect">
          <a:avLst/>
        </a:prstGeom>
        <a:noFill/>
        <a:ln w="9525">
          <a:noFill/>
        </a:ln>
      </xdr:spPr>
    </xdr:pic>
    <xdr:clientData/>
  </xdr:twoCellAnchor>
  <xdr:twoCellAnchor editAs="oneCell">
    <xdr:from>
      <xdr:col>19</xdr:col>
      <xdr:colOff>70485</xdr:colOff>
      <xdr:row>90</xdr:row>
      <xdr:rowOff>152400</xdr:rowOff>
    </xdr:from>
    <xdr:to>
      <xdr:col>23</xdr:col>
      <xdr:colOff>69215</xdr:colOff>
      <xdr:row>106</xdr:row>
      <xdr:rowOff>74083</xdr:rowOff>
    </xdr:to>
    <xdr:pic>
      <xdr:nvPicPr>
        <xdr:cNvPr id="16" name="图片 15">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3"/>
        <a:stretch>
          <a:fillRect/>
        </a:stretch>
      </xdr:blipFill>
      <xdr:spPr>
        <a:xfrm>
          <a:off x="16296005" y="9266555"/>
          <a:ext cx="3131185" cy="2918460"/>
        </a:xfrm>
        <a:prstGeom prst="rect">
          <a:avLst/>
        </a:prstGeom>
        <a:noFill/>
        <a:ln w="9525">
          <a:noFill/>
        </a:ln>
      </xdr:spPr>
    </xdr:pic>
    <xdr:clientData/>
  </xdr:twoCellAnchor>
  <xdr:twoCellAnchor editAs="oneCell">
    <xdr:from>
      <xdr:col>23</xdr:col>
      <xdr:colOff>426085</xdr:colOff>
      <xdr:row>90</xdr:row>
      <xdr:rowOff>126365</xdr:rowOff>
    </xdr:from>
    <xdr:to>
      <xdr:col>28</xdr:col>
      <xdr:colOff>26670</xdr:colOff>
      <xdr:row>106</xdr:row>
      <xdr:rowOff>105833</xdr:rowOff>
    </xdr:to>
    <xdr:pic>
      <xdr:nvPicPr>
        <xdr:cNvPr id="17" name="图片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4"/>
        <a:stretch>
          <a:fillRect/>
        </a:stretch>
      </xdr:blipFill>
      <xdr:spPr>
        <a:xfrm>
          <a:off x="19785965" y="9240520"/>
          <a:ext cx="2926080" cy="2974340"/>
        </a:xfrm>
        <a:prstGeom prst="rect">
          <a:avLst/>
        </a:prstGeom>
        <a:noFill/>
        <a:ln w="9525">
          <a:noFill/>
        </a:ln>
      </xdr:spPr>
    </xdr:pic>
    <xdr:clientData/>
  </xdr:twoCellAnchor>
  <xdr:twoCellAnchor>
    <xdr:from>
      <xdr:col>0</xdr:col>
      <xdr:colOff>192405</xdr:colOff>
      <xdr:row>3</xdr:row>
      <xdr:rowOff>169545</xdr:rowOff>
    </xdr:from>
    <xdr:to>
      <xdr:col>2</xdr:col>
      <xdr:colOff>817880</xdr:colOff>
      <xdr:row>5</xdr:row>
      <xdr:rowOff>87630</xdr:rowOff>
    </xdr:to>
    <xdr:sp macro="" textlink="">
      <xdr:nvSpPr>
        <xdr:cNvPr id="18" name="圆角矩形 5">
          <a:extLst>
            <a:ext uri="{FF2B5EF4-FFF2-40B4-BE49-F238E27FC236}">
              <a16:creationId xmlns:a16="http://schemas.microsoft.com/office/drawing/2014/main" id="{00000000-0008-0000-0200-000012000000}"/>
            </a:ext>
          </a:extLst>
        </xdr:cNvPr>
        <xdr:cNvSpPr/>
      </xdr:nvSpPr>
      <xdr:spPr>
        <a:xfrm>
          <a:off x="192405" y="476250"/>
          <a:ext cx="1743075" cy="0"/>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珠海横琴隽福项目投资合伙企业</a:t>
          </a:r>
        </a:p>
        <a:p>
          <a:pPr algn="ct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a:t>
          </a:r>
        </a:p>
      </xdr:txBody>
    </xdr:sp>
    <xdr:clientData/>
  </xdr:twoCellAnchor>
  <xdr:twoCellAnchor>
    <xdr:from>
      <xdr:col>4</xdr:col>
      <xdr:colOff>381635</xdr:colOff>
      <xdr:row>3</xdr:row>
      <xdr:rowOff>179705</xdr:rowOff>
    </xdr:from>
    <xdr:to>
      <xdr:col>6</xdr:col>
      <xdr:colOff>175895</xdr:colOff>
      <xdr:row>5</xdr:row>
      <xdr:rowOff>97790</xdr:rowOff>
    </xdr:to>
    <xdr:sp macro="" textlink="">
      <xdr:nvSpPr>
        <xdr:cNvPr id="19" name="圆角矩形 1">
          <a:extLst>
            <a:ext uri="{FF2B5EF4-FFF2-40B4-BE49-F238E27FC236}">
              <a16:creationId xmlns:a16="http://schemas.microsoft.com/office/drawing/2014/main" id="{00000000-0008-0000-0200-000013000000}"/>
            </a:ext>
          </a:extLst>
        </xdr:cNvPr>
        <xdr:cNvSpPr/>
      </xdr:nvSpPr>
      <xdr:spPr>
        <a:xfrm>
          <a:off x="4247515" y="476250"/>
          <a:ext cx="1714500" cy="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孙艳芳</a:t>
          </a:r>
        </a:p>
      </xdr:txBody>
    </xdr:sp>
    <xdr:clientData/>
  </xdr:twoCellAnchor>
  <xdr:twoCellAnchor>
    <xdr:from>
      <xdr:col>7</xdr:col>
      <xdr:colOff>650240</xdr:colOff>
      <xdr:row>3</xdr:row>
      <xdr:rowOff>162560</xdr:rowOff>
    </xdr:from>
    <xdr:to>
      <xdr:col>17</xdr:col>
      <xdr:colOff>708660</xdr:colOff>
      <xdr:row>10</xdr:row>
      <xdr:rowOff>59690</xdr:rowOff>
    </xdr:to>
    <xdr:grpSp>
      <xdr:nvGrpSpPr>
        <xdr:cNvPr id="22" name="组合 21">
          <a:extLst>
            <a:ext uri="{FF2B5EF4-FFF2-40B4-BE49-F238E27FC236}">
              <a16:creationId xmlns:a16="http://schemas.microsoft.com/office/drawing/2014/main" id="{00000000-0008-0000-0200-000016000000}"/>
            </a:ext>
          </a:extLst>
        </xdr:cNvPr>
        <xdr:cNvGrpSpPr/>
      </xdr:nvGrpSpPr>
      <xdr:grpSpPr>
        <a:xfrm>
          <a:off x="7398173" y="482600"/>
          <a:ext cx="7783830" cy="0"/>
          <a:chOff x="10797" y="1313"/>
          <a:chExt cx="9522" cy="2175"/>
        </a:xfrm>
      </xdr:grpSpPr>
      <xdr:sp macro="" textlink="">
        <xdr:nvSpPr>
          <xdr:cNvPr id="55" name="圆角矩形 6">
            <a:extLst>
              <a:ext uri="{FF2B5EF4-FFF2-40B4-BE49-F238E27FC236}">
                <a16:creationId xmlns:a16="http://schemas.microsoft.com/office/drawing/2014/main" id="{00000000-0008-0000-0200-000037000000}"/>
              </a:ext>
            </a:extLst>
          </xdr:cNvPr>
          <xdr:cNvSpPr/>
        </xdr:nvSpPr>
        <xdr:spPr>
          <a:xfrm>
            <a:off x="13705" y="2987"/>
            <a:ext cx="3417" cy="501"/>
          </a:xfrm>
          <a:prstGeom prst="roundRect">
            <a:avLst/>
          </a:prstGeom>
          <a:solidFill>
            <a:schemeClr val="accent3">
              <a:lumMod val="20000"/>
              <a:lumOff val="80000"/>
            </a:schemeClr>
          </a:solidFill>
          <a:ln w="12700" cmpd="sng">
            <a:noFill/>
            <a:prstDash val="solid"/>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惠州市海景嘉福房地产开发有限公司</a:t>
            </a:r>
          </a:p>
          <a:p>
            <a:pPr algn="ctr"/>
            <a:r>
              <a:rPr lang="zh-CN" altLang="en-US" sz="500" dirty="0">
                <a:solidFill>
                  <a:schemeClr val="tx1"/>
                </a:solidFill>
                <a:latin typeface="微软雅黑" panose="020B0503020204020204" charset="-122"/>
                <a:ea typeface="微软雅黑" panose="020B0503020204020204" charset="-122"/>
              </a:rPr>
              <a:t>（海景嘉福）</a:t>
            </a:r>
          </a:p>
        </xdr:txBody>
      </xdr:sp>
      <xdr:sp macro="" textlink="">
        <xdr:nvSpPr>
          <xdr:cNvPr id="56" name="文本框 55">
            <a:extLst>
              <a:ext uri="{FF2B5EF4-FFF2-40B4-BE49-F238E27FC236}">
                <a16:creationId xmlns:a16="http://schemas.microsoft.com/office/drawing/2014/main" id="{00000000-0008-0000-0200-000038000000}"/>
              </a:ext>
            </a:extLst>
          </xdr:cNvPr>
          <xdr:cNvSpPr txBox="1"/>
        </xdr:nvSpPr>
        <xdr:spPr>
          <a:xfrm>
            <a:off x="18914" y="1813"/>
            <a:ext cx="1405" cy="268"/>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44.1%</a:t>
            </a:r>
          </a:p>
        </xdr:txBody>
      </xdr:sp>
      <xdr:sp macro="" textlink="">
        <xdr:nvSpPr>
          <xdr:cNvPr id="57" name="圆角矩形 1">
            <a:extLst>
              <a:ext uri="{FF2B5EF4-FFF2-40B4-BE49-F238E27FC236}">
                <a16:creationId xmlns:a16="http://schemas.microsoft.com/office/drawing/2014/main" id="{00000000-0008-0000-0200-000039000000}"/>
              </a:ext>
            </a:extLst>
          </xdr:cNvPr>
          <xdr:cNvSpPr/>
        </xdr:nvSpPr>
        <xdr:spPr>
          <a:xfrm>
            <a:off x="14113" y="1318"/>
            <a:ext cx="2596" cy="500"/>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杨达红</a:t>
            </a:r>
          </a:p>
        </xdr:txBody>
      </xdr:sp>
      <xdr:sp macro="" textlink="">
        <xdr:nvSpPr>
          <xdr:cNvPr id="58" name="文本框 57">
            <a:extLst>
              <a:ext uri="{FF2B5EF4-FFF2-40B4-BE49-F238E27FC236}">
                <a16:creationId xmlns:a16="http://schemas.microsoft.com/office/drawing/2014/main" id="{00000000-0008-0000-0200-00003A000000}"/>
              </a:ext>
            </a:extLst>
          </xdr:cNvPr>
          <xdr:cNvSpPr txBox="1"/>
        </xdr:nvSpPr>
        <xdr:spPr>
          <a:xfrm>
            <a:off x="10797" y="1836"/>
            <a:ext cx="2385" cy="622"/>
          </a:xfrm>
          <a:prstGeom prst="rect">
            <a:avLst/>
          </a:prstGeom>
          <a:noFill/>
        </xdr:spPr>
        <xdr:txBody>
          <a:bodyPr wrap="square" rtlCol="0">
            <a:spAutoFit/>
          </a:bodyPr>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51%</a:t>
            </a:r>
            <a:r>
              <a:rPr lang="zh-CN" altLang="en-US" sz="600" dirty="0">
                <a:latin typeface="微软雅黑" panose="020B0503020204020204" charset="-122"/>
                <a:ea typeface="微软雅黑" panose="020B0503020204020204" charset="-122"/>
              </a:rPr>
              <a:t> （工商登记）</a:t>
            </a:r>
            <a:endParaRPr lang="en-US" altLang="zh-CN" sz="600" dirty="0">
              <a:latin typeface="微软雅黑" panose="020B0503020204020204" charset="-122"/>
              <a:ea typeface="微软雅黑" panose="020B0503020204020204" charset="-122"/>
            </a:endParaRPr>
          </a:p>
          <a:p>
            <a:pPr>
              <a:defRPr/>
            </a:pPr>
            <a:r>
              <a:rPr lang="zh-CN" altLang="en-US" sz="600" dirty="0">
                <a:latin typeface="微软雅黑" panose="020B0503020204020204" charset="-122"/>
                <a:ea typeface="微软雅黑" panose="020B0503020204020204" charset="-122"/>
              </a:rPr>
              <a:t>（实际全盘操盘</a:t>
            </a:r>
            <a:r>
              <a:rPr lang="en-US" altLang="zh-CN" sz="600" dirty="0">
                <a:latin typeface="微软雅黑" panose="020B0503020204020204" charset="-122"/>
                <a:ea typeface="微软雅黑" panose="020B0503020204020204" charset="-122"/>
              </a:rPr>
              <a:t>100%</a:t>
            </a:r>
            <a:r>
              <a:rPr lang="zh-CN" altLang="en-US" sz="600" dirty="0">
                <a:latin typeface="微软雅黑" panose="020B0503020204020204" charset="-122"/>
                <a:ea typeface="微软雅黑" panose="020B0503020204020204" charset="-122"/>
              </a:rPr>
              <a:t>）</a:t>
            </a:r>
          </a:p>
        </xdr:txBody>
      </xdr:sp>
      <xdr:sp macro="" textlink="">
        <xdr:nvSpPr>
          <xdr:cNvPr id="59" name="文本框 58">
            <a:extLst>
              <a:ext uri="{FF2B5EF4-FFF2-40B4-BE49-F238E27FC236}">
                <a16:creationId xmlns:a16="http://schemas.microsoft.com/office/drawing/2014/main" id="{00000000-0008-0000-0200-00003B000000}"/>
              </a:ext>
            </a:extLst>
          </xdr:cNvPr>
          <xdr:cNvSpPr txBox="1"/>
        </xdr:nvSpPr>
        <xdr:spPr>
          <a:xfrm>
            <a:off x="15556" y="1823"/>
            <a:ext cx="1234" cy="278"/>
          </a:xfrm>
          <a:prstGeom prst="rect">
            <a:avLst/>
          </a:prstGeom>
          <a:noFill/>
        </xdr:spPr>
        <xdr:txBody>
          <a:bodyPr wrap="square" rtlCol="0"/>
          <a:lstStyle>
            <a:defPPr>
              <a:defRPr lang="zh-CN"/>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defRPr/>
            </a:pPr>
            <a:r>
              <a:rPr lang="zh-CN" altLang="en-US" sz="600" dirty="0">
                <a:latin typeface="微软雅黑" panose="020B0503020204020204" charset="-122"/>
                <a:ea typeface="微软雅黑" panose="020B0503020204020204" charset="-122"/>
              </a:rPr>
              <a:t>股权：</a:t>
            </a:r>
            <a:r>
              <a:rPr lang="en-US" altLang="zh-CN" sz="600" dirty="0">
                <a:latin typeface="微软雅黑" panose="020B0503020204020204" charset="-122"/>
                <a:ea typeface="微软雅黑" panose="020B0503020204020204" charset="-122"/>
              </a:rPr>
              <a:t>4.9%</a:t>
            </a:r>
          </a:p>
        </xdr:txBody>
      </xdr:sp>
      <xdr:cxnSp macro="">
        <xdr:nvCxnSpPr>
          <xdr:cNvPr id="60" name="肘形连接符 58">
            <a:extLst>
              <a:ext uri="{FF2B5EF4-FFF2-40B4-BE49-F238E27FC236}">
                <a16:creationId xmlns:a16="http://schemas.microsoft.com/office/drawing/2014/main" id="{00000000-0008-0000-0200-00003C000000}"/>
              </a:ext>
            </a:extLst>
          </xdr:cNvPr>
          <xdr:cNvCxnSpPr>
            <a:stCxn id="54" idx="2"/>
            <a:endCxn id="55" idx="0"/>
          </xdr:cNvCxnSpPr>
        </xdr:nvCxnSpPr>
        <xdr:spPr>
          <a:xfrm rot="5400000">
            <a:off x="16471" y="761"/>
            <a:ext cx="1168" cy="3284"/>
          </a:xfrm>
          <a:prstGeom prst="bentConnector3">
            <a:avLst>
              <a:gd name="adj1" fmla="val 50000"/>
            </a:avLst>
          </a:prstGeom>
        </xdr:spPr>
        <xdr:style>
          <a:lnRef idx="2">
            <a:schemeClr val="accent1"/>
          </a:lnRef>
          <a:fillRef idx="0">
            <a:srgbClr val="FFFFFF"/>
          </a:fillRef>
          <a:effectRef idx="0">
            <a:srgbClr val="FFFFFF"/>
          </a:effectRef>
          <a:fontRef idx="minor">
            <a:schemeClr val="tx1"/>
          </a:fontRef>
        </xdr:style>
      </xdr:cxnSp>
      <xdr:cxnSp macro="">
        <xdr:nvCxnSpPr>
          <xdr:cNvPr id="61" name="肘形连接符 65">
            <a:extLst>
              <a:ext uri="{FF2B5EF4-FFF2-40B4-BE49-F238E27FC236}">
                <a16:creationId xmlns:a16="http://schemas.microsoft.com/office/drawing/2014/main" id="{00000000-0008-0000-0200-00003D000000}"/>
              </a:ext>
            </a:extLst>
          </xdr:cNvPr>
          <xdr:cNvCxnSpPr>
            <a:stCxn id="57" idx="2"/>
            <a:endCxn id="55" idx="0"/>
          </xdr:cNvCxnSpPr>
        </xdr:nvCxnSpPr>
        <xdr:spPr>
          <a:xfrm rot="5400000" flipV="1">
            <a:off x="14828" y="2402"/>
            <a:ext cx="1170" cy="2"/>
          </a:xfrm>
          <a:prstGeom prst="bentConnector3">
            <a:avLst>
              <a:gd name="adj1" fmla="val 50000"/>
            </a:avLst>
          </a:prstGeom>
          <a:ln>
            <a:prstDash val="sysDash"/>
          </a:ln>
        </xdr:spPr>
        <xdr:style>
          <a:lnRef idx="2">
            <a:schemeClr val="accent1"/>
          </a:lnRef>
          <a:fillRef idx="0">
            <a:srgbClr val="FFFFFF"/>
          </a:fillRef>
          <a:effectRef idx="0">
            <a:srgbClr val="FFFFFF"/>
          </a:effectRef>
          <a:fontRef idx="minor">
            <a:schemeClr val="tx1"/>
          </a:fontRef>
        </xdr:style>
      </xdr:cxnSp>
      <xdr:sp macro="" textlink="">
        <xdr:nvSpPr>
          <xdr:cNvPr id="20" name="圆角矩形 5">
            <a:extLst>
              <a:ext uri="{FF2B5EF4-FFF2-40B4-BE49-F238E27FC236}">
                <a16:creationId xmlns:a16="http://schemas.microsoft.com/office/drawing/2014/main" id="{00000000-0008-0000-0200-000014000000}"/>
              </a:ext>
            </a:extLst>
          </xdr:cNvPr>
          <xdr:cNvSpPr/>
        </xdr:nvSpPr>
        <xdr:spPr>
          <a:xfrm>
            <a:off x="10802" y="1313"/>
            <a:ext cx="2596" cy="502"/>
          </a:xfrm>
          <a:prstGeom prst="roundRect">
            <a:avLst/>
          </a:prstGeom>
          <a:solidFill>
            <a:schemeClr val="accent1">
              <a:lumMod val="75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bg1"/>
                </a:solidFill>
                <a:latin typeface="微软雅黑" panose="020B0503020204020204" charset="-122"/>
                <a:ea typeface="微软雅黑" panose="020B0503020204020204" charset="-122"/>
              </a:rPr>
              <a:t>珠海横琴隽福项目投资合伙企业</a:t>
            </a:r>
          </a:p>
          <a:p>
            <a:pPr algn="ctr"/>
            <a:r>
              <a:rPr lang="en-US" altLang="zh-CN" sz="600" b="1" dirty="0">
                <a:solidFill>
                  <a:schemeClr val="bg1"/>
                </a:solidFill>
                <a:latin typeface="微软雅黑" panose="020B0503020204020204" charset="-122"/>
                <a:ea typeface="微软雅黑" panose="020B0503020204020204" charset="-122"/>
              </a:rPr>
              <a:t>(</a:t>
            </a:r>
            <a:r>
              <a:rPr lang="zh-CN" altLang="en-US" sz="600" b="1" dirty="0">
                <a:solidFill>
                  <a:schemeClr val="bg1"/>
                </a:solidFill>
                <a:latin typeface="微软雅黑" panose="020B0503020204020204" charset="-122"/>
                <a:ea typeface="微软雅黑" panose="020B0503020204020204" charset="-122"/>
              </a:rPr>
              <a:t>有限合伙</a:t>
            </a:r>
            <a:r>
              <a:rPr lang="en-US" altLang="zh-CN" sz="600" b="1" dirty="0">
                <a:solidFill>
                  <a:schemeClr val="bg1"/>
                </a:solidFill>
                <a:latin typeface="微软雅黑" panose="020B0503020204020204" charset="-122"/>
                <a:ea typeface="微软雅黑" panose="020B0503020204020204" charset="-122"/>
              </a:rPr>
              <a:t>)</a:t>
            </a:r>
          </a:p>
        </xdr:txBody>
      </xdr:sp>
      <xdr:sp macro="" textlink="">
        <xdr:nvSpPr>
          <xdr:cNvPr id="21" name="圆角矩形 1">
            <a:extLst>
              <a:ext uri="{FF2B5EF4-FFF2-40B4-BE49-F238E27FC236}">
                <a16:creationId xmlns:a16="http://schemas.microsoft.com/office/drawing/2014/main" id="{00000000-0008-0000-0200-000015000000}"/>
              </a:ext>
            </a:extLst>
          </xdr:cNvPr>
          <xdr:cNvSpPr/>
        </xdr:nvSpPr>
        <xdr:spPr>
          <a:xfrm>
            <a:off x="17437" y="1319"/>
            <a:ext cx="2596" cy="502"/>
          </a:xfrm>
          <a:prstGeom prst="roundRect">
            <a:avLst/>
          </a:prstGeom>
          <a:solidFill>
            <a:schemeClr val="accent3">
              <a:lumMod val="20000"/>
              <a:lumOff val="80000"/>
            </a:schemeClr>
          </a:solidFill>
          <a:ln>
            <a:noFill/>
          </a:ln>
        </xdr:spPr>
        <xdr:style>
          <a:lnRef idx="2">
            <a:schemeClr val="accent1">
              <a:lumMod val="75000"/>
            </a:schemeClr>
          </a:lnRef>
          <a:fillRef idx="1">
            <a:schemeClr val="accent1"/>
          </a:fillRef>
          <a:effectRef idx="0">
            <a:srgbClr val="FFFFFF"/>
          </a:effectRef>
          <a:fontRef idx="minor">
            <a:schemeClr val="lt1"/>
          </a:fontRef>
        </xdr:style>
        <xdr:txBody>
          <a:bodyPr wrap="square" rtlCol="0" anchor="ctr" anchorCtr="0"/>
          <a:lstStyle>
            <a:lvl1pPr marL="0" indent="0">
              <a:defRPr sz="1100">
                <a:solidFill>
                  <a:schemeClr val="lt1"/>
                </a:solidFill>
                <a:latin typeface="+mn-lt"/>
                <a:ea typeface="+mn-ea"/>
                <a:cs typeface="+mn-cs"/>
              </a:defRPr>
            </a:lvl1pPr>
            <a:lvl2pPr marL="457200" indent="0">
              <a:defRPr sz="1100">
                <a:solidFill>
                  <a:schemeClr val="lt1"/>
                </a:solidFill>
                <a:latin typeface="+mn-lt"/>
                <a:ea typeface="+mn-ea"/>
                <a:cs typeface="+mn-cs"/>
              </a:defRPr>
            </a:lvl2pPr>
            <a:lvl3pPr marL="914400" indent="0">
              <a:defRPr sz="1100">
                <a:solidFill>
                  <a:schemeClr val="lt1"/>
                </a:solidFill>
                <a:latin typeface="+mn-lt"/>
                <a:ea typeface="+mn-ea"/>
                <a:cs typeface="+mn-cs"/>
              </a:defRPr>
            </a:lvl3pPr>
            <a:lvl4pPr marL="1371600" indent="0">
              <a:defRPr sz="1100">
                <a:solidFill>
                  <a:schemeClr val="lt1"/>
                </a:solidFill>
                <a:latin typeface="+mn-lt"/>
                <a:ea typeface="+mn-ea"/>
                <a:cs typeface="+mn-cs"/>
              </a:defRPr>
            </a:lvl4pPr>
            <a:lvl5pPr marL="1828800" indent="0">
              <a:defRPr sz="1100">
                <a:solidFill>
                  <a:schemeClr val="lt1"/>
                </a:solidFill>
                <a:latin typeface="+mn-lt"/>
                <a:ea typeface="+mn-ea"/>
                <a:cs typeface="+mn-cs"/>
              </a:defRPr>
            </a:lvl5pPr>
            <a:lvl6pPr marL="2286000" indent="0">
              <a:defRPr sz="1100">
                <a:solidFill>
                  <a:schemeClr val="lt1"/>
                </a:solidFill>
                <a:latin typeface="+mn-lt"/>
                <a:ea typeface="+mn-ea"/>
                <a:cs typeface="+mn-cs"/>
              </a:defRPr>
            </a:lvl6pPr>
            <a:lvl7pPr marL="2743200" indent="0">
              <a:defRPr sz="1100">
                <a:solidFill>
                  <a:schemeClr val="lt1"/>
                </a:solidFill>
                <a:latin typeface="+mn-lt"/>
                <a:ea typeface="+mn-ea"/>
                <a:cs typeface="+mn-cs"/>
              </a:defRPr>
            </a:lvl7pPr>
            <a:lvl8pPr marL="3200400" indent="0">
              <a:defRPr sz="1100">
                <a:solidFill>
                  <a:schemeClr val="lt1"/>
                </a:solidFill>
                <a:latin typeface="+mn-lt"/>
                <a:ea typeface="+mn-ea"/>
                <a:cs typeface="+mn-cs"/>
              </a:defRPr>
            </a:lvl8pPr>
            <a:lvl9pPr marL="3657600" indent="0">
              <a:defRPr sz="1100">
                <a:solidFill>
                  <a:schemeClr val="lt1"/>
                </a:solidFill>
                <a:latin typeface="+mn-lt"/>
                <a:ea typeface="+mn-ea"/>
                <a:cs typeface="+mn-cs"/>
              </a:defRPr>
            </a:lvl9pPr>
          </a:lstStyle>
          <a:p>
            <a:pPr algn="ctr"/>
            <a:r>
              <a:rPr lang="zh-CN" altLang="en-US" sz="600" b="1" dirty="0">
                <a:solidFill>
                  <a:schemeClr val="tx1"/>
                </a:solidFill>
                <a:latin typeface="微软雅黑" panose="020B0503020204020204" charset="-122"/>
                <a:ea typeface="微软雅黑" panose="020B0503020204020204" charset="-122"/>
              </a:rPr>
              <a:t>孙艳芳</a:t>
            </a:r>
          </a:p>
        </xdr:txBody>
      </xdr:sp>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762635</xdr:colOff>
      <xdr:row>228</xdr:row>
      <xdr:rowOff>41910</xdr:rowOff>
    </xdr:from>
    <xdr:to>
      <xdr:col>6</xdr:col>
      <xdr:colOff>1718945</xdr:colOff>
      <xdr:row>253</xdr:row>
      <xdr:rowOff>454</xdr:rowOff>
    </xdr:to>
    <xdr:pic>
      <xdr:nvPicPr>
        <xdr:cNvPr id="2" name="图片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7310755" y="43045380"/>
          <a:ext cx="8044815" cy="4243705"/>
        </a:xfrm>
        <a:prstGeom prst="rect">
          <a:avLst/>
        </a:prstGeom>
      </xdr:spPr>
    </xdr:pic>
    <xdr:clientData/>
  </xdr:twoCellAnchor>
  <xdr:twoCellAnchor editAs="oneCell">
    <xdr:from>
      <xdr:col>5</xdr:col>
      <xdr:colOff>112395</xdr:colOff>
      <xdr:row>251</xdr:row>
      <xdr:rowOff>134620</xdr:rowOff>
    </xdr:from>
    <xdr:to>
      <xdr:col>6</xdr:col>
      <xdr:colOff>1126490</xdr:colOff>
      <xdr:row>276</xdr:row>
      <xdr:rowOff>45085</xdr:rowOff>
    </xdr:to>
    <xdr:pic>
      <xdr:nvPicPr>
        <xdr:cNvPr id="3" name="图片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6660515" y="47081440"/>
          <a:ext cx="8096885" cy="4198620"/>
        </a:xfrm>
        <a:prstGeom prst="rect">
          <a:avLst/>
        </a:prstGeom>
      </xdr:spPr>
    </xdr:pic>
    <xdr:clientData/>
  </xdr:twoCellAnchor>
  <xdr:twoCellAnchor editAs="oneCell">
    <xdr:from>
      <xdr:col>5</xdr:col>
      <xdr:colOff>0</xdr:colOff>
      <xdr:row>280</xdr:row>
      <xdr:rowOff>0</xdr:rowOff>
    </xdr:from>
    <xdr:to>
      <xdr:col>5</xdr:col>
      <xdr:colOff>4692015</xdr:colOff>
      <xdr:row>311</xdr:row>
      <xdr:rowOff>44450</xdr:rowOff>
    </xdr:to>
    <xdr:pic>
      <xdr:nvPicPr>
        <xdr:cNvPr id="4" name="图片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6548120" y="51918870"/>
          <a:ext cx="4693920" cy="5361305"/>
        </a:xfrm>
        <a:prstGeom prst="rect">
          <a:avLst/>
        </a:prstGeom>
      </xdr:spPr>
    </xdr:pic>
    <xdr:clientData/>
  </xdr:twoCellAnchor>
  <xdr:twoCellAnchor editAs="oneCell">
    <xdr:from>
      <xdr:col>7</xdr:col>
      <xdr:colOff>61232</xdr:colOff>
      <xdr:row>22</xdr:row>
      <xdr:rowOff>27215</xdr:rowOff>
    </xdr:from>
    <xdr:to>
      <xdr:col>9</xdr:col>
      <xdr:colOff>3044462</xdr:colOff>
      <xdr:row>31</xdr:row>
      <xdr:rowOff>34200</xdr:rowOff>
    </xdr:to>
    <xdr:pic>
      <xdr:nvPicPr>
        <xdr:cNvPr id="5" name="图片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tretch>
          <a:fillRect/>
        </a:stretch>
      </xdr:blipFill>
      <xdr:spPr>
        <a:xfrm>
          <a:off x="20650200" y="6566535"/>
          <a:ext cx="8218805" cy="165862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236</xdr:row>
      <xdr:rowOff>0</xdr:rowOff>
    </xdr:from>
    <xdr:to>
      <xdr:col>8</xdr:col>
      <xdr:colOff>1350645</xdr:colOff>
      <xdr:row>263</xdr:row>
      <xdr:rowOff>105410</xdr:rowOff>
    </xdr:to>
    <xdr:pic>
      <xdr:nvPicPr>
        <xdr:cNvPr id="2" name="图片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0" y="53197125"/>
          <a:ext cx="11185525" cy="473456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D:\wechat\WeChat%20Files\wxid_is3zrhk5bda021\FileStorage\File\2024-03\&#32858;&#34701;&#22235;&#20010;&#39033;&#30446;&#32467;&#31639;&#25253;&#21578;3.21.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D:\Users\zhaonan\Desktop\&#37329;&#23665;&#28246;&#39033;&#30446;&#21382;&#24180;&#25237;&#36164;&#32467;&#31639;&#25253;&#21578;&#21450;&#29616;&#37329;&#27969;&#24773;&#20917;V3-2024-3-8.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D:\&#21512;&#29983;&#27963;&#24120;&#29992;-&#26032;&#25968;&#25454;1\15&#12289;&#22320;&#20135;&#39033;&#30446;\&#28023;&#26223;&#22025;&#31119;&#39033;&#30446;&#21382;&#24180;&#25237;&#36164;&#21450;&#32467;&#31639;&#25253;&#21578;%20-%20&#21547;&#27979;&#31639;V5.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汇总"/>
      <sheetName val="海景嘉福测算表"/>
      <sheetName val="永华工业园"/>
      <sheetName val="南站"/>
      <sheetName val="金山湖"/>
      <sheetName val="海景嘉福"/>
    </sheet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海景嘉福XXX"/>
      <sheetName val="金山湖"/>
      <sheetName val="俊发202302科目余额表"/>
      <sheetName val="俊发202302资产负债表"/>
      <sheetName val="俊发202302利润表"/>
      <sheetName val="1.22亿元投入明细"/>
      <sheetName val="节点表"/>
      <sheetName val="大生产产值结算表（含形象进度）"/>
      <sheetName val="截止当期现场图片"/>
      <sheetName val="现金流量对比"/>
    </sheetNames>
    <sheetDataSet>
      <sheetData sheetId="0"/>
      <sheetData sheetId="1"/>
      <sheetData sheetId="2">
        <row r="14">
          <cell r="S14">
            <v>-12448673</v>
          </cell>
        </row>
        <row r="19">
          <cell r="S19">
            <v>-54235000</v>
          </cell>
        </row>
        <row r="20">
          <cell r="S20">
            <v>-20816327</v>
          </cell>
        </row>
        <row r="67">
          <cell r="N67">
            <v>319780</v>
          </cell>
        </row>
        <row r="70">
          <cell r="P70">
            <v>762416</v>
          </cell>
        </row>
        <row r="75">
          <cell r="P75">
            <v>20001000</v>
          </cell>
        </row>
        <row r="77">
          <cell r="P77">
            <v>4104609.22</v>
          </cell>
        </row>
        <row r="135">
          <cell r="P135">
            <v>-699934.69</v>
          </cell>
        </row>
        <row r="152">
          <cell r="O152">
            <v>-28231452.239999998</v>
          </cell>
        </row>
        <row r="183">
          <cell r="P183">
            <v>-33365099.890000001</v>
          </cell>
        </row>
        <row r="184">
          <cell r="P184">
            <v>5564243.8700000001</v>
          </cell>
        </row>
        <row r="186">
          <cell r="P186">
            <v>-10000000</v>
          </cell>
        </row>
        <row r="187">
          <cell r="P187">
            <v>-1500000</v>
          </cell>
        </row>
        <row r="188">
          <cell r="P188">
            <v>-64534135.810000002</v>
          </cell>
        </row>
        <row r="189">
          <cell r="P189">
            <v>-45000000</v>
          </cell>
        </row>
        <row r="190">
          <cell r="P190">
            <v>-349351672.55000001</v>
          </cell>
        </row>
        <row r="191">
          <cell r="P191">
            <v>-98585441.519999996</v>
          </cell>
        </row>
        <row r="193">
          <cell r="O193">
            <v>50000</v>
          </cell>
        </row>
        <row r="205">
          <cell r="P205">
            <v>123205.51</v>
          </cell>
        </row>
        <row r="209">
          <cell r="P209">
            <v>-2118650</v>
          </cell>
        </row>
        <row r="218">
          <cell r="P218">
            <v>-20000000</v>
          </cell>
        </row>
        <row r="222">
          <cell r="N222">
            <v>628393626.54999995</v>
          </cell>
        </row>
        <row r="224">
          <cell r="N224">
            <v>544767000</v>
          </cell>
        </row>
        <row r="306">
          <cell r="J306">
            <v>493744.31</v>
          </cell>
        </row>
        <row r="329">
          <cell r="J329">
            <v>34566373.68</v>
          </cell>
        </row>
        <row r="449">
          <cell r="J449">
            <v>2170.0500000000002</v>
          </cell>
        </row>
      </sheetData>
      <sheetData sheetId="3">
        <row r="7">
          <cell r="E7">
            <v>695916.07</v>
          </cell>
        </row>
        <row r="11">
          <cell r="E11">
            <v>0</v>
          </cell>
          <cell r="J11">
            <v>22871820.719999999</v>
          </cell>
        </row>
        <row r="12">
          <cell r="J12">
            <v>0</v>
          </cell>
        </row>
        <row r="15">
          <cell r="E15">
            <v>628393626.54999995</v>
          </cell>
        </row>
        <row r="34">
          <cell r="E34">
            <v>1510298.33</v>
          </cell>
        </row>
        <row r="41">
          <cell r="E41">
            <v>324164.92</v>
          </cell>
        </row>
      </sheetData>
      <sheetData sheetId="4"/>
      <sheetData sheetId="5">
        <row r="58">
          <cell r="D58">
            <v>122064476.29000001</v>
          </cell>
        </row>
        <row r="62">
          <cell r="D62">
            <v>1199376.4000000099</v>
          </cell>
        </row>
      </sheetData>
      <sheetData sheetId="6"/>
      <sheetData sheetId="7"/>
      <sheetData sheetId="8"/>
      <sheetData sheetId="9"/>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海景嘉福XXX"/>
      <sheetName val="海景"/>
      <sheetName val="聚荣投入"/>
      <sheetName val="合作方收回"/>
      <sheetName val="海景202302科目余额表"/>
      <sheetName val="海景202302资产负债表"/>
      <sheetName val="海景202302利润表"/>
      <sheetName val="节点表"/>
      <sheetName val="截止当期现场图片"/>
      <sheetName val="2023年3月~2024年2月科目余额表"/>
    </sheetNames>
    <sheetDataSet>
      <sheetData sheetId="0"/>
      <sheetData sheetId="1"/>
      <sheetData sheetId="2">
        <row r="23">
          <cell r="E23">
            <v>45000000</v>
          </cell>
        </row>
        <row r="34">
          <cell r="E34">
            <v>-20000000</v>
          </cell>
        </row>
        <row r="96">
          <cell r="F96">
            <v>977651.929999999</v>
          </cell>
        </row>
        <row r="99">
          <cell r="F99">
            <v>45000000</v>
          </cell>
        </row>
      </sheetData>
      <sheetData sheetId="3">
        <row r="3">
          <cell r="D3">
            <v>10000000</v>
          </cell>
        </row>
        <row r="4">
          <cell r="D4">
            <v>32500</v>
          </cell>
        </row>
        <row r="5">
          <cell r="D5">
            <v>17612651.579999998</v>
          </cell>
        </row>
        <row r="6">
          <cell r="D6">
            <v>12850976.380000001</v>
          </cell>
        </row>
        <row r="7">
          <cell r="D7">
            <v>2000000</v>
          </cell>
        </row>
        <row r="8">
          <cell r="D8">
            <v>7503872.04</v>
          </cell>
        </row>
        <row r="9">
          <cell r="D9">
            <v>2496127.96</v>
          </cell>
        </row>
        <row r="12">
          <cell r="D12">
            <v>20000000</v>
          </cell>
        </row>
        <row r="16">
          <cell r="D16">
            <v>20771572.039999999</v>
          </cell>
        </row>
        <row r="17">
          <cell r="D17">
            <v>9228427.9600000009</v>
          </cell>
        </row>
        <row r="22">
          <cell r="D22">
            <v>279031534.31999999</v>
          </cell>
        </row>
        <row r="23">
          <cell r="D23">
            <v>43448181.969999999</v>
          </cell>
        </row>
        <row r="25">
          <cell r="E25">
            <v>-19.689364000000001</v>
          </cell>
        </row>
      </sheetData>
      <sheetData sheetId="4">
        <row r="45">
          <cell r="N45">
            <v>120000000</v>
          </cell>
        </row>
        <row r="85">
          <cell r="N85">
            <v>5400</v>
          </cell>
        </row>
        <row r="96">
          <cell r="N96">
            <v>174123.76</v>
          </cell>
        </row>
        <row r="105">
          <cell r="N105">
            <v>-1651.38</v>
          </cell>
        </row>
        <row r="116">
          <cell r="N116">
            <v>583.49</v>
          </cell>
        </row>
        <row r="192">
          <cell r="O192">
            <v>-76012.61</v>
          </cell>
        </row>
        <row r="236">
          <cell r="O236">
            <v>3118455.57</v>
          </cell>
        </row>
        <row r="242">
          <cell r="O242">
            <v>143883198.63999999</v>
          </cell>
        </row>
        <row r="243">
          <cell r="O243">
            <v>-150000000</v>
          </cell>
        </row>
        <row r="245">
          <cell r="I245">
            <v>3500000</v>
          </cell>
          <cell r="O245">
            <v>5582985.75</v>
          </cell>
        </row>
        <row r="246">
          <cell r="O246">
            <v>58959183.670000002</v>
          </cell>
        </row>
        <row r="247">
          <cell r="I247">
            <v>5863627.8600000003</v>
          </cell>
          <cell r="O247">
            <v>5863627.8600000003</v>
          </cell>
        </row>
        <row r="248">
          <cell r="I248">
            <v>-5786651.5800000001</v>
          </cell>
          <cell r="J248">
            <v>32174607.77</v>
          </cell>
          <cell r="K248">
            <v>2445069.34</v>
          </cell>
          <cell r="O248">
            <v>-35516190.009999998</v>
          </cell>
        </row>
        <row r="249">
          <cell r="O249">
            <v>-31732300</v>
          </cell>
        </row>
        <row r="250">
          <cell r="O250">
            <v>40000</v>
          </cell>
        </row>
        <row r="258">
          <cell r="O258">
            <v>100000</v>
          </cell>
        </row>
        <row r="261">
          <cell r="O261">
            <v>-3152517</v>
          </cell>
        </row>
        <row r="264">
          <cell r="O264">
            <v>-120490.44</v>
          </cell>
        </row>
        <row r="267">
          <cell r="I267">
            <v>44848553.710000001</v>
          </cell>
          <cell r="O267">
            <v>44851905.710000001</v>
          </cell>
        </row>
        <row r="269">
          <cell r="J269">
            <v>6000000</v>
          </cell>
        </row>
        <row r="271">
          <cell r="K271">
            <v>350000000</v>
          </cell>
        </row>
        <row r="275">
          <cell r="O275">
            <v>1040816.33</v>
          </cell>
        </row>
        <row r="276">
          <cell r="I276">
            <v>1000000</v>
          </cell>
          <cell r="O276">
            <v>1000000</v>
          </cell>
        </row>
        <row r="279">
          <cell r="I279">
            <v>-238245.68</v>
          </cell>
        </row>
        <row r="280">
          <cell r="I280">
            <v>-5780151.9699999997</v>
          </cell>
        </row>
        <row r="282">
          <cell r="N282">
            <v>252596889.03999999</v>
          </cell>
        </row>
        <row r="284">
          <cell r="N284">
            <v>41486409.469999999</v>
          </cell>
        </row>
        <row r="372">
          <cell r="J372">
            <v>16558.099999999999</v>
          </cell>
        </row>
        <row r="375">
          <cell r="J375">
            <v>2.04</v>
          </cell>
        </row>
        <row r="377">
          <cell r="J377">
            <v>141626.89000000001</v>
          </cell>
        </row>
        <row r="386">
          <cell r="J386">
            <v>4820963.16</v>
          </cell>
        </row>
        <row r="469">
          <cell r="J469">
            <v>8242044.5899999999</v>
          </cell>
          <cell r="K469">
            <v>8242044.5899999999</v>
          </cell>
        </row>
        <row r="564">
          <cell r="J564">
            <v>5705767.4900000002</v>
          </cell>
        </row>
        <row r="567">
          <cell r="J567">
            <v>5700000</v>
          </cell>
        </row>
      </sheetData>
      <sheetData sheetId="5">
        <row r="7">
          <cell r="E7">
            <v>6460200.6600000001</v>
          </cell>
        </row>
        <row r="11">
          <cell r="J11">
            <v>1928193.88</v>
          </cell>
        </row>
        <row r="12">
          <cell r="J12">
            <v>18348.62</v>
          </cell>
        </row>
        <row r="13">
          <cell r="E13">
            <v>104772366.56999999</v>
          </cell>
        </row>
        <row r="14">
          <cell r="J14">
            <v>127883.26</v>
          </cell>
        </row>
        <row r="15">
          <cell r="E15">
            <v>252596889.03999999</v>
          </cell>
        </row>
        <row r="34">
          <cell r="E34">
            <v>996937.45</v>
          </cell>
        </row>
        <row r="41">
          <cell r="E41">
            <v>0</v>
          </cell>
        </row>
        <row r="43">
          <cell r="J43">
            <v>-24912239.640000001</v>
          </cell>
        </row>
      </sheetData>
      <sheetData sheetId="6"/>
      <sheetData sheetId="7"/>
      <sheetData sheetId="8"/>
      <sheetData sheetId="9">
        <row r="5">
          <cell r="J5">
            <v>79811511.579999998</v>
          </cell>
          <cell r="K5">
            <v>84827007.689999998</v>
          </cell>
        </row>
        <row r="21">
          <cell r="J21">
            <v>30341058.07</v>
          </cell>
          <cell r="K21">
            <v>17858248.890000001</v>
          </cell>
        </row>
        <row r="72">
          <cell r="K72">
            <v>1200</v>
          </cell>
        </row>
        <row r="80">
          <cell r="J80">
            <v>269016.27</v>
          </cell>
          <cell r="K80">
            <v>16542.53</v>
          </cell>
        </row>
        <row r="91">
          <cell r="K91">
            <v>118545.22</v>
          </cell>
        </row>
        <row r="94">
          <cell r="J94">
            <v>17645.349999999999</v>
          </cell>
        </row>
        <row r="98">
          <cell r="K98">
            <v>358080.13</v>
          </cell>
        </row>
        <row r="103">
          <cell r="J103">
            <v>5700000</v>
          </cell>
          <cell r="K103">
            <v>1583333.4</v>
          </cell>
        </row>
        <row r="104">
          <cell r="J104">
            <v>20727.650000000001</v>
          </cell>
        </row>
        <row r="106">
          <cell r="J106">
            <v>1096614.9099999999</v>
          </cell>
          <cell r="K106">
            <v>256681.06</v>
          </cell>
        </row>
        <row r="150">
          <cell r="K150">
            <v>1317168.78</v>
          </cell>
        </row>
        <row r="155">
          <cell r="J155">
            <v>2144119.9500000002</v>
          </cell>
          <cell r="K155">
            <v>2238265.35</v>
          </cell>
        </row>
        <row r="170">
          <cell r="J170">
            <v>323608.15999999997</v>
          </cell>
          <cell r="K170">
            <v>369089.55</v>
          </cell>
        </row>
        <row r="209">
          <cell r="K209">
            <v>199874</v>
          </cell>
        </row>
        <row r="215">
          <cell r="J215">
            <v>178377956.63999999</v>
          </cell>
          <cell r="K215">
            <v>31391800</v>
          </cell>
        </row>
        <row r="216">
          <cell r="J216">
            <v>54282.06</v>
          </cell>
          <cell r="K216">
            <v>14668017.779999999</v>
          </cell>
        </row>
        <row r="217">
          <cell r="K217">
            <v>150000000</v>
          </cell>
        </row>
        <row r="218">
          <cell r="J218">
            <v>17426.2</v>
          </cell>
        </row>
        <row r="222">
          <cell r="K222">
            <v>30000000</v>
          </cell>
        </row>
        <row r="223">
          <cell r="J223">
            <v>130000</v>
          </cell>
          <cell r="K223">
            <v>200000</v>
          </cell>
        </row>
        <row r="229">
          <cell r="J229">
            <v>20000</v>
          </cell>
          <cell r="K229">
            <v>-70000</v>
          </cell>
        </row>
        <row r="234">
          <cell r="K234">
            <v>11824</v>
          </cell>
        </row>
        <row r="235">
          <cell r="J235">
            <v>351770.58</v>
          </cell>
          <cell r="K235">
            <v>308705.14</v>
          </cell>
        </row>
        <row r="243">
          <cell r="J243">
            <v>18000000</v>
          </cell>
        </row>
        <row r="253">
          <cell r="J253">
            <v>18868150.800000001</v>
          </cell>
        </row>
        <row r="314">
          <cell r="J314">
            <v>4771.78</v>
          </cell>
        </row>
        <row r="317">
          <cell r="J317">
            <v>0.08</v>
          </cell>
        </row>
        <row r="319">
          <cell r="J319">
            <v>84911.42</v>
          </cell>
        </row>
        <row r="329">
          <cell r="J329">
            <v>2620959.12</v>
          </cell>
        </row>
        <row r="386">
          <cell r="J386">
            <v>1435020.55</v>
          </cell>
        </row>
        <row r="430">
          <cell r="J430">
            <v>743191.88</v>
          </cell>
        </row>
        <row r="436">
          <cell r="J436">
            <v>86739.71</v>
          </cell>
        </row>
        <row r="439">
          <cell r="J439">
            <v>-4855555.5199999996</v>
          </cell>
        </row>
      </sheetData>
    </sheetDataSet>
  </externalBook>
</externalLink>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B120"/>
  <sheetViews>
    <sheetView tabSelected="1" topLeftCell="AZ1" zoomScale="90" zoomScaleNormal="90" workbookViewId="0">
      <selection activeCell="BP16" sqref="BP16"/>
    </sheetView>
  </sheetViews>
  <sheetFormatPr defaultColWidth="9" defaultRowHeight="16.5" outlineLevelRow="1" x14ac:dyDescent="0.15"/>
  <cols>
    <col min="1" max="1" width="4.625" style="414" customWidth="1"/>
    <col min="2" max="2" width="3.5" style="882" customWidth="1"/>
    <col min="3" max="3" width="16.25" style="883" customWidth="1"/>
    <col min="4" max="4" width="6.5" style="882" customWidth="1"/>
    <col min="5" max="5" width="12.25" style="884" customWidth="1"/>
    <col min="6" max="6" width="5.625" style="883" customWidth="1"/>
    <col min="7" max="7" width="11.75" style="883" customWidth="1"/>
    <col min="8" max="8" width="5.625" style="883" customWidth="1"/>
    <col min="9" max="9" width="11.75" style="883" customWidth="1"/>
    <col min="10" max="10" width="5.625" style="883" customWidth="1"/>
    <col min="11" max="11" width="17.375" style="883" customWidth="1"/>
    <col min="12" max="12" width="2.25" style="883" customWidth="1"/>
    <col min="13" max="13" width="9.625" style="883" customWidth="1"/>
    <col min="14" max="14" width="3.875" style="883" customWidth="1"/>
    <col min="15" max="15" width="12.25" style="883" customWidth="1"/>
    <col min="16" max="16" width="6.5" style="883" customWidth="1"/>
    <col min="17" max="17" width="9.75" style="883" customWidth="1"/>
    <col min="18" max="18" width="14.75" style="883" customWidth="1"/>
    <col min="19" max="19" width="5.625" style="883" customWidth="1"/>
    <col min="20" max="20" width="9.75" style="883" customWidth="1"/>
    <col min="21" max="21" width="6.625" style="883" customWidth="1"/>
    <col min="22" max="22" width="15.25" style="883" customWidth="1"/>
    <col min="23" max="23" width="11.625" style="883" customWidth="1"/>
    <col min="24" max="24" width="6.125" style="883" customWidth="1"/>
    <col min="25" max="25" width="3.75" style="883" customWidth="1"/>
    <col min="26" max="26" width="11.625" style="883" customWidth="1"/>
    <col min="27" max="27" width="10.25" style="883" customWidth="1"/>
    <col min="28" max="28" width="11.625" style="883" customWidth="1"/>
    <col min="29" max="29" width="7.25" style="883" customWidth="1"/>
    <col min="30" max="30" width="11.625" style="883" customWidth="1"/>
    <col min="31" max="31" width="12.875" style="885" customWidth="1"/>
    <col min="32" max="32" width="11.625" style="883" customWidth="1"/>
    <col min="33" max="34" width="9" style="883"/>
    <col min="35" max="35" width="14.25" style="883" customWidth="1"/>
    <col min="36" max="37" width="11.625" style="883" customWidth="1"/>
    <col min="38" max="38" width="9" style="98" customWidth="1"/>
    <col min="39" max="39" width="16.625" style="98" customWidth="1"/>
    <col min="40" max="40" width="15.75" style="98" customWidth="1"/>
    <col min="41" max="41" width="14.375" style="886" customWidth="1"/>
    <col min="42" max="43" width="8.875" style="886" customWidth="1"/>
    <col min="44" max="44" width="11.375" style="887" customWidth="1"/>
    <col min="45" max="45" width="11.375" style="883" customWidth="1"/>
    <col min="46" max="46" width="7.375" style="883" customWidth="1"/>
    <col min="47" max="47" width="13.5" style="883" customWidth="1"/>
    <col min="48" max="48" width="9.375" style="883" customWidth="1"/>
    <col min="49" max="52" width="9" style="883" customWidth="1"/>
    <col min="53" max="53" width="11.25" style="883" customWidth="1"/>
    <col min="54" max="56" width="9" style="883" customWidth="1"/>
    <col min="57" max="57" width="9" style="883"/>
    <col min="58" max="58" width="12" style="883" customWidth="1"/>
    <col min="59" max="59" width="9" style="883"/>
    <col min="60" max="60" width="10.125" style="883"/>
    <col min="61" max="61" width="9" style="883" customWidth="1"/>
    <col min="62" max="62" width="7.875" style="883" bestFit="1" customWidth="1"/>
    <col min="63" max="63" width="13.75" style="883" customWidth="1"/>
    <col min="64" max="64" width="11" style="883" customWidth="1"/>
    <col min="65" max="65" width="32.25" style="883" customWidth="1"/>
    <col min="66" max="66" width="17" style="883" customWidth="1"/>
    <col min="67" max="16384" width="9" style="883"/>
  </cols>
  <sheetData>
    <row r="1" spans="2:66" s="414" customFormat="1" ht="21.75" thickBot="1" x14ac:dyDescent="0.2">
      <c r="B1" s="422" t="s">
        <v>0</v>
      </c>
      <c r="D1" s="415"/>
      <c r="E1" s="888"/>
      <c r="N1" s="422" t="s">
        <v>1</v>
      </c>
      <c r="Y1" s="422" t="s">
        <v>2</v>
      </c>
      <c r="AE1" s="956"/>
      <c r="AK1" s="422" t="s">
        <v>3</v>
      </c>
      <c r="AL1" s="981"/>
      <c r="AM1" s="980"/>
      <c r="AN1" s="980"/>
      <c r="AO1" s="1017"/>
      <c r="AP1" s="1017"/>
      <c r="AQ1" s="1017"/>
      <c r="AR1" s="1018"/>
    </row>
    <row r="2" spans="2:66" s="414" customFormat="1" ht="26.1" hidden="1" customHeight="1" outlineLevel="1" thickBot="1" x14ac:dyDescent="0.2">
      <c r="B2" s="422"/>
      <c r="D2" s="415"/>
      <c r="E2" s="888"/>
      <c r="AE2" s="956"/>
      <c r="AK2" s="982"/>
      <c r="AL2" s="980"/>
      <c r="AM2" s="980"/>
      <c r="AN2" s="980"/>
      <c r="AO2" s="1017"/>
      <c r="AP2" s="1017"/>
      <c r="AQ2" s="1017"/>
      <c r="AR2" s="1019"/>
      <c r="AS2" s="982"/>
    </row>
    <row r="3" spans="2:66" s="414" customFormat="1" ht="67.5" hidden="1" customHeight="1" outlineLevel="1" x14ac:dyDescent="0.15">
      <c r="B3" s="415"/>
      <c r="D3" s="889"/>
      <c r="AE3" s="956"/>
      <c r="AK3" s="982"/>
      <c r="AL3" s="980"/>
      <c r="AM3" s="980"/>
      <c r="AN3" s="980"/>
      <c r="AO3" s="1017"/>
      <c r="AP3" s="1017"/>
      <c r="AR3" s="1019"/>
      <c r="AS3" s="982"/>
    </row>
    <row r="4" spans="2:66" s="414" customFormat="1" ht="17.25" hidden="1" outlineLevel="1" thickBot="1" x14ac:dyDescent="0.2">
      <c r="B4" s="415" t="s">
        <v>4</v>
      </c>
      <c r="D4" s="889"/>
      <c r="AE4" s="956"/>
      <c r="AK4" s="982"/>
      <c r="AL4" s="980"/>
      <c r="AM4" s="980"/>
      <c r="AN4" s="980"/>
      <c r="AO4" s="1017"/>
      <c r="AP4" s="1017"/>
      <c r="AQ4" s="1017"/>
      <c r="AR4" s="1019"/>
      <c r="AS4" s="982"/>
    </row>
    <row r="5" spans="2:66" s="414" customFormat="1" ht="13.15" hidden="1" customHeight="1" outlineLevel="1" thickBot="1" x14ac:dyDescent="0.2">
      <c r="B5" s="415"/>
      <c r="D5" s="889"/>
      <c r="AE5" s="956"/>
      <c r="AK5" s="982"/>
      <c r="AL5" s="980"/>
      <c r="AM5" s="980"/>
      <c r="AN5" s="980"/>
      <c r="AO5" s="1017"/>
      <c r="AP5" s="1017"/>
      <c r="AQ5" s="1017"/>
      <c r="AR5" s="1019"/>
      <c r="AS5" s="982"/>
    </row>
    <row r="6" spans="2:66" s="414" customFormat="1" ht="17.25" hidden="1" outlineLevel="1" thickBot="1" x14ac:dyDescent="0.2">
      <c r="B6" s="415"/>
      <c r="D6" s="889"/>
      <c r="AE6" s="956"/>
      <c r="AK6" s="982"/>
      <c r="AL6" s="980"/>
      <c r="AM6" s="980"/>
      <c r="AN6" s="980"/>
      <c r="AO6" s="1017"/>
      <c r="AP6" s="1017"/>
      <c r="AQ6" s="1017"/>
      <c r="AR6" s="1019"/>
      <c r="AS6" s="982"/>
    </row>
    <row r="7" spans="2:66" s="414" customFormat="1" ht="17.25" hidden="1" outlineLevel="1" thickBot="1" x14ac:dyDescent="0.2">
      <c r="B7" s="415"/>
      <c r="D7" s="889"/>
      <c r="R7" s="1354" t="s">
        <v>5</v>
      </c>
      <c r="S7" s="1355"/>
      <c r="T7" s="1355"/>
      <c r="AE7" s="956"/>
      <c r="AK7" s="982"/>
      <c r="AL7" s="980"/>
      <c r="AM7" s="980"/>
      <c r="AN7" s="980"/>
      <c r="AO7" s="1017"/>
      <c r="AP7" s="1017"/>
      <c r="AQ7" s="1017"/>
      <c r="AR7" s="1019"/>
      <c r="AS7" s="982"/>
    </row>
    <row r="8" spans="2:66" s="414" customFormat="1" ht="17.25" hidden="1" outlineLevel="1" thickBot="1" x14ac:dyDescent="0.2">
      <c r="B8" s="415"/>
      <c r="D8" s="889"/>
      <c r="R8" s="1355"/>
      <c r="S8" s="1355"/>
      <c r="T8" s="1355"/>
      <c r="AE8" s="956"/>
      <c r="AL8" s="980"/>
      <c r="AM8" s="980"/>
      <c r="AN8" s="980"/>
      <c r="AO8" s="1017"/>
      <c r="AP8" s="1017"/>
      <c r="AQ8" s="1017"/>
      <c r="AR8" s="1018"/>
    </row>
    <row r="9" spans="2:66" s="414" customFormat="1" ht="17.25" hidden="1" outlineLevel="1" thickBot="1" x14ac:dyDescent="0.2">
      <c r="B9" s="415"/>
      <c r="D9" s="889"/>
      <c r="R9" s="406"/>
      <c r="S9" s="406"/>
      <c r="T9" s="406"/>
      <c r="AE9" s="956"/>
      <c r="AL9" s="980"/>
      <c r="AM9" s="980"/>
      <c r="AN9" s="980"/>
      <c r="AO9" s="1017"/>
      <c r="AP9" s="1017"/>
      <c r="AQ9" s="1017"/>
      <c r="AR9" s="1018"/>
    </row>
    <row r="10" spans="2:66" s="414" customFormat="1" ht="21.75" collapsed="1" thickBot="1" x14ac:dyDescent="0.2">
      <c r="B10" s="1260" t="s">
        <v>0</v>
      </c>
      <c r="C10" s="1261"/>
      <c r="D10" s="1261"/>
      <c r="E10" s="1261"/>
      <c r="F10" s="1261"/>
      <c r="G10" s="1261"/>
      <c r="H10" s="1261"/>
      <c r="I10" s="1261"/>
      <c r="J10" s="1261"/>
      <c r="K10" s="1262"/>
      <c r="N10" s="1263" t="s">
        <v>1</v>
      </c>
      <c r="O10" s="1264"/>
      <c r="P10" s="1264"/>
      <c r="Q10" s="1264"/>
      <c r="R10" s="1264"/>
      <c r="S10" s="1264"/>
      <c r="T10" s="1264"/>
      <c r="U10" s="1264"/>
      <c r="V10" s="1265"/>
      <c r="Y10" s="1266" t="s">
        <v>6</v>
      </c>
      <c r="Z10" s="1267"/>
      <c r="AA10" s="1267"/>
      <c r="AB10" s="1267"/>
      <c r="AC10" s="1267"/>
      <c r="AD10" s="1267"/>
      <c r="AE10" s="1267"/>
      <c r="AF10" s="1267"/>
      <c r="AG10" s="1267"/>
      <c r="AH10" s="1267"/>
      <c r="AI10" s="1268"/>
      <c r="AL10" s="1269" t="s">
        <v>3</v>
      </c>
      <c r="AM10" s="1270"/>
      <c r="AN10" s="1270"/>
      <c r="AO10" s="1270"/>
      <c r="AP10" s="1270"/>
      <c r="AQ10" s="1270"/>
      <c r="AR10" s="1270"/>
      <c r="AS10" s="1270"/>
      <c r="AT10" s="1270"/>
      <c r="AU10" s="1270"/>
      <c r="AV10" s="1270"/>
      <c r="AW10" s="1270"/>
      <c r="AX10" s="1270"/>
      <c r="AY10" s="1270"/>
      <c r="AZ10" s="1270"/>
      <c r="BA10" s="1270"/>
      <c r="BB10" s="1270"/>
      <c r="BC10" s="1271"/>
      <c r="BE10" s="1266" t="s">
        <v>7</v>
      </c>
      <c r="BF10" s="1267"/>
      <c r="BG10" s="1267"/>
      <c r="BH10" s="1267"/>
      <c r="BI10" s="1267"/>
      <c r="BJ10" s="1267"/>
      <c r="BK10" s="1267"/>
      <c r="BL10" s="1267"/>
      <c r="BM10" s="1267"/>
      <c r="BN10" s="1268"/>
    </row>
    <row r="11" spans="2:66" ht="17.25" thickBot="1" x14ac:dyDescent="0.2">
      <c r="B11" s="1274" t="s">
        <v>8</v>
      </c>
      <c r="C11" s="1352" t="s">
        <v>9</v>
      </c>
      <c r="D11" s="1272" t="s">
        <v>10</v>
      </c>
      <c r="E11" s="1273"/>
      <c r="F11" s="1274" t="s">
        <v>11</v>
      </c>
      <c r="G11" s="1273"/>
      <c r="H11" s="1274" t="s">
        <v>12</v>
      </c>
      <c r="I11" s="1273"/>
      <c r="J11" s="1272" t="s">
        <v>13</v>
      </c>
      <c r="K11" s="1273"/>
      <c r="L11" s="414"/>
      <c r="M11" s="414"/>
      <c r="N11" s="1274" t="s">
        <v>8</v>
      </c>
      <c r="O11" s="1352" t="s">
        <v>9</v>
      </c>
      <c r="P11" s="1272" t="s">
        <v>10</v>
      </c>
      <c r="Q11" s="1273"/>
      <c r="R11" s="1275" t="s">
        <v>14</v>
      </c>
      <c r="S11" s="1275"/>
      <c r="T11" s="1276"/>
      <c r="U11" s="1272" t="s">
        <v>13</v>
      </c>
      <c r="V11" s="1273"/>
      <c r="W11" s="414"/>
      <c r="X11" s="414"/>
      <c r="Y11" s="1274" t="s">
        <v>8</v>
      </c>
      <c r="Z11" s="1352" t="s">
        <v>9</v>
      </c>
      <c r="AA11" s="1272" t="s">
        <v>10</v>
      </c>
      <c r="AB11" s="1273"/>
      <c r="AC11" s="1274" t="s">
        <v>11</v>
      </c>
      <c r="AD11" s="1273"/>
      <c r="AE11" s="1274" t="s">
        <v>12</v>
      </c>
      <c r="AF11" s="1273"/>
      <c r="AG11" s="1272" t="s">
        <v>13</v>
      </c>
      <c r="AH11" s="1275"/>
      <c r="AI11" s="1273"/>
      <c r="AJ11" s="414"/>
      <c r="AK11" s="414"/>
      <c r="AL11" s="1277" t="s">
        <v>15</v>
      </c>
      <c r="AM11" s="1278"/>
      <c r="AN11" s="1279" t="s">
        <v>16</v>
      </c>
      <c r="AO11" s="1280"/>
      <c r="AP11" s="1281"/>
      <c r="AQ11" s="1278" t="s">
        <v>17</v>
      </c>
      <c r="AR11" s="1278"/>
      <c r="AS11" s="1282" t="s">
        <v>18</v>
      </c>
      <c r="AT11" s="1283"/>
      <c r="AU11" s="1284"/>
      <c r="AV11" s="1285" t="s">
        <v>19</v>
      </c>
      <c r="AW11" s="1285"/>
      <c r="AX11" s="1285"/>
      <c r="AY11" s="1285"/>
      <c r="AZ11" s="1286"/>
      <c r="BA11" s="1287" t="s">
        <v>20</v>
      </c>
      <c r="BB11" s="1287"/>
      <c r="BC11" s="1288"/>
      <c r="BD11" s="414"/>
      <c r="BE11" s="1274" t="s">
        <v>8</v>
      </c>
      <c r="BF11" s="1352" t="s">
        <v>9</v>
      </c>
      <c r="BG11" s="1272" t="s">
        <v>10</v>
      </c>
      <c r="BH11" s="1273"/>
      <c r="BI11" s="1289" t="s">
        <v>643</v>
      </c>
      <c r="BJ11" s="1273"/>
      <c r="BK11" s="1514" t="s">
        <v>13</v>
      </c>
      <c r="BL11" s="1275"/>
      <c r="BM11" s="1275"/>
      <c r="BN11" s="1582" t="s">
        <v>647</v>
      </c>
    </row>
    <row r="12" spans="2:66" ht="17.25" thickBot="1" x14ac:dyDescent="0.2">
      <c r="B12" s="1351"/>
      <c r="C12" s="1353"/>
      <c r="D12" s="891" t="s">
        <v>21</v>
      </c>
      <c r="E12" s="892" t="s">
        <v>22</v>
      </c>
      <c r="F12" s="890" t="s">
        <v>21</v>
      </c>
      <c r="G12" s="892" t="s">
        <v>22</v>
      </c>
      <c r="H12" s="890" t="s">
        <v>21</v>
      </c>
      <c r="I12" s="892" t="s">
        <v>22</v>
      </c>
      <c r="J12" s="891" t="s">
        <v>22</v>
      </c>
      <c r="K12" s="892" t="s">
        <v>23</v>
      </c>
      <c r="L12" s="414"/>
      <c r="M12" s="414"/>
      <c r="N12" s="1351"/>
      <c r="O12" s="1353"/>
      <c r="P12" s="891" t="s">
        <v>21</v>
      </c>
      <c r="Q12" s="892" t="s">
        <v>22</v>
      </c>
      <c r="R12" s="1290" t="s">
        <v>24</v>
      </c>
      <c r="S12" s="1291"/>
      <c r="T12" s="892" t="s">
        <v>25</v>
      </c>
      <c r="U12" s="891" t="s">
        <v>22</v>
      </c>
      <c r="V12" s="892" t="s">
        <v>23</v>
      </c>
      <c r="W12" s="414"/>
      <c r="X12" s="414"/>
      <c r="Y12" s="1351"/>
      <c r="Z12" s="1353"/>
      <c r="AA12" s="891" t="s">
        <v>21</v>
      </c>
      <c r="AB12" s="892" t="s">
        <v>22</v>
      </c>
      <c r="AC12" s="890" t="s">
        <v>21</v>
      </c>
      <c r="AD12" s="892" t="s">
        <v>22</v>
      </c>
      <c r="AE12" s="890" t="s">
        <v>21</v>
      </c>
      <c r="AF12" s="892" t="s">
        <v>22</v>
      </c>
      <c r="AG12" s="891" t="s">
        <v>26</v>
      </c>
      <c r="AH12" s="937" t="s">
        <v>27</v>
      </c>
      <c r="AI12" s="892" t="s">
        <v>23</v>
      </c>
      <c r="AJ12" s="414"/>
      <c r="AK12" s="414"/>
      <c r="AL12" s="439" t="s">
        <v>28</v>
      </c>
      <c r="AM12" s="440"/>
      <c r="AN12" s="441"/>
      <c r="AO12" s="442"/>
      <c r="AP12" s="442">
        <v>76512.740000000005</v>
      </c>
      <c r="AQ12" s="442"/>
      <c r="AR12" s="442"/>
      <c r="AS12" s="544"/>
      <c r="AT12" s="442"/>
      <c r="AU12" s="442"/>
      <c r="AV12" s="545"/>
      <c r="AW12" s="546"/>
      <c r="AX12" s="546"/>
      <c r="AY12" s="546"/>
      <c r="AZ12" s="546"/>
      <c r="BA12" s="601"/>
      <c r="BB12" s="546"/>
      <c r="BC12" s="602"/>
      <c r="BD12" s="414"/>
      <c r="BE12" s="1351"/>
      <c r="BF12" s="1353"/>
      <c r="BG12" s="891" t="s">
        <v>21</v>
      </c>
      <c r="BH12" s="892" t="s">
        <v>22</v>
      </c>
      <c r="BI12" s="890" t="s">
        <v>21</v>
      </c>
      <c r="BJ12" s="892" t="s">
        <v>22</v>
      </c>
      <c r="BK12" s="937" t="s">
        <v>30</v>
      </c>
      <c r="BL12" s="937" t="s">
        <v>31</v>
      </c>
      <c r="BM12" s="1587" t="s">
        <v>23</v>
      </c>
      <c r="BN12" s="1583"/>
    </row>
    <row r="13" spans="2:66" s="881" customFormat="1" ht="17.45" customHeight="1" thickBot="1" x14ac:dyDescent="0.2">
      <c r="B13" s="893"/>
      <c r="C13" s="894" t="s">
        <v>32</v>
      </c>
      <c r="D13" s="895"/>
      <c r="E13" s="896" t="s">
        <v>33</v>
      </c>
      <c r="F13" s="897"/>
      <c r="G13" s="898"/>
      <c r="H13" s="897"/>
      <c r="I13" s="896" t="s">
        <v>34</v>
      </c>
      <c r="J13" s="928"/>
      <c r="K13" s="929"/>
      <c r="N13" s="893"/>
      <c r="O13" s="894" t="s">
        <v>32</v>
      </c>
      <c r="P13" s="895"/>
      <c r="Q13" s="896" t="s">
        <v>33</v>
      </c>
      <c r="R13" s="938"/>
      <c r="S13" s="939"/>
      <c r="T13" s="900"/>
      <c r="U13" s="940"/>
      <c r="V13" s="941"/>
      <c r="Y13" s="893"/>
      <c r="Z13" s="894" t="s">
        <v>32</v>
      </c>
      <c r="AA13" s="895"/>
      <c r="AB13" s="896" t="s">
        <v>33</v>
      </c>
      <c r="AC13" s="957"/>
      <c r="AD13" s="958"/>
      <c r="AE13" s="959"/>
      <c r="AF13" s="958"/>
      <c r="AG13" s="983"/>
      <c r="AH13" s="984"/>
      <c r="AI13" s="985"/>
      <c r="AL13" s="1292" t="s">
        <v>15</v>
      </c>
      <c r="AM13" s="1293"/>
      <c r="AN13" s="1101" t="s">
        <v>35</v>
      </c>
      <c r="AO13" s="1119" t="s">
        <v>36</v>
      </c>
      <c r="AP13" s="1120" t="s">
        <v>37</v>
      </c>
      <c r="AQ13" s="1121" t="s">
        <v>38</v>
      </c>
      <c r="AR13" s="1122" t="s">
        <v>37</v>
      </c>
      <c r="AS13" s="1123" t="s">
        <v>21</v>
      </c>
      <c r="AT13" s="1119" t="s">
        <v>22</v>
      </c>
      <c r="AU13" s="1122" t="s">
        <v>37</v>
      </c>
      <c r="AV13" s="1124" t="s">
        <v>21</v>
      </c>
      <c r="AW13" s="1294" t="s">
        <v>38</v>
      </c>
      <c r="AX13" s="1294"/>
      <c r="AY13" s="1295" t="s">
        <v>37</v>
      </c>
      <c r="AZ13" s="1296"/>
      <c r="BA13" s="1124" t="s">
        <v>21</v>
      </c>
      <c r="BB13" s="1193" t="s">
        <v>36</v>
      </c>
      <c r="BC13" s="1120" t="s">
        <v>39</v>
      </c>
      <c r="BD13" s="414"/>
      <c r="BE13" s="893"/>
      <c r="BF13" s="894"/>
      <c r="BG13" s="895"/>
      <c r="BH13" s="896"/>
      <c r="BI13" s="959"/>
      <c r="BJ13" s="958"/>
      <c r="BK13" s="983"/>
      <c r="BL13" s="984"/>
      <c r="BM13" s="1588"/>
      <c r="BN13" s="1626">
        <f>BJ16/BJ14</f>
        <v>0.23036428966311776</v>
      </c>
    </row>
    <row r="14" spans="2:66" s="881" customFormat="1" ht="17.45" customHeight="1" thickBot="1" x14ac:dyDescent="0.2">
      <c r="B14" s="893" t="s">
        <v>40</v>
      </c>
      <c r="C14" s="894" t="s">
        <v>41</v>
      </c>
      <c r="D14" s="895"/>
      <c r="E14" s="899">
        <v>1</v>
      </c>
      <c r="F14" s="897"/>
      <c r="G14" s="900">
        <v>0.62</v>
      </c>
      <c r="H14" s="897"/>
      <c r="I14" s="899">
        <v>0.62</v>
      </c>
      <c r="J14" s="928">
        <f>+I14</f>
        <v>0.62</v>
      </c>
      <c r="K14" s="929" t="s">
        <v>42</v>
      </c>
      <c r="N14" s="893" t="s">
        <v>40</v>
      </c>
      <c r="O14" s="894" t="s">
        <v>41</v>
      </c>
      <c r="P14" s="895"/>
      <c r="Q14" s="899">
        <v>1</v>
      </c>
      <c r="R14" s="938"/>
      <c r="S14" s="939">
        <v>1</v>
      </c>
      <c r="T14" s="900">
        <v>1</v>
      </c>
      <c r="U14" s="940">
        <v>1</v>
      </c>
      <c r="V14" s="941" t="s">
        <v>42</v>
      </c>
      <c r="Y14" s="893" t="s">
        <v>40</v>
      </c>
      <c r="Z14" s="894" t="s">
        <v>41</v>
      </c>
      <c r="AA14" s="895"/>
      <c r="AB14" s="958">
        <v>0.875</v>
      </c>
      <c r="AC14" s="957"/>
      <c r="AD14" s="958">
        <f>(8750+3456)/10000</f>
        <v>1.2205999999999999</v>
      </c>
      <c r="AE14" s="959"/>
      <c r="AF14" s="958">
        <f>AD14</f>
        <v>1.2205999999999999</v>
      </c>
      <c r="AG14" s="983">
        <f>AF14</f>
        <v>1.2205999999999999</v>
      </c>
      <c r="AH14" s="984"/>
      <c r="AI14" s="985"/>
      <c r="AJ14" s="986"/>
      <c r="AL14" s="1297" t="s">
        <v>43</v>
      </c>
      <c r="AM14" s="1298"/>
      <c r="AN14" s="1102"/>
      <c r="AO14" s="1125"/>
      <c r="AP14" s="1126"/>
      <c r="AQ14" s="1127"/>
      <c r="AR14" s="1128"/>
      <c r="AS14" s="1129"/>
      <c r="AT14" s="1125"/>
      <c r="AU14" s="1128"/>
      <c r="AV14" s="1130"/>
      <c r="AW14" s="1299"/>
      <c r="AX14" s="1300"/>
      <c r="AY14" s="1301"/>
      <c r="AZ14" s="1302"/>
      <c r="BA14" s="1194"/>
      <c r="BB14" s="1195"/>
      <c r="BC14" s="1196"/>
      <c r="BD14" s="414"/>
      <c r="BE14" s="893" t="s">
        <v>40</v>
      </c>
      <c r="BF14" s="894" t="s">
        <v>41</v>
      </c>
      <c r="BG14" s="1079"/>
      <c r="BH14" s="958">
        <f>BH21+BH34+BH45+BH61</f>
        <v>3.4750000000000001</v>
      </c>
      <c r="BI14" s="959"/>
      <c r="BJ14" s="958">
        <f>BJ21+BJ34+BJ45+BJ61</f>
        <v>4.1115290594000005</v>
      </c>
      <c r="BK14" s="983">
        <f>BK21+BK34+BK45+BK61</f>
        <v>4.1115290594000005</v>
      </c>
      <c r="BL14" s="984"/>
      <c r="BM14" s="1589" t="s">
        <v>44</v>
      </c>
      <c r="BN14" s="1627"/>
    </row>
    <row r="15" spans="2:66" s="881" customFormat="1" ht="17.45" customHeight="1" thickBot="1" x14ac:dyDescent="0.2">
      <c r="B15" s="901" t="s">
        <v>45</v>
      </c>
      <c r="C15" s="902" t="s">
        <v>46</v>
      </c>
      <c r="D15" s="903"/>
      <c r="E15" s="904">
        <f>SUM(E16:E21)</f>
        <v>3.6170750000000003</v>
      </c>
      <c r="F15" s="905">
        <f>SUM(F16:F21)</f>
        <v>0</v>
      </c>
      <c r="G15" s="904">
        <f>SUM(G16:G21)</f>
        <v>0.37</v>
      </c>
      <c r="H15" s="905">
        <f>SUM(H16:H21)</f>
        <v>0</v>
      </c>
      <c r="I15" s="904">
        <f>SUM(I16:I21)</f>
        <v>0.55000000000000004</v>
      </c>
      <c r="J15" s="930">
        <f>+I15</f>
        <v>0.55000000000000004</v>
      </c>
      <c r="K15" s="931"/>
      <c r="N15" s="901" t="s">
        <v>45</v>
      </c>
      <c r="O15" s="902" t="s">
        <v>46</v>
      </c>
      <c r="P15" s="903"/>
      <c r="Q15" s="942">
        <f>SUM(Q16:Q21)</f>
        <v>6.0963399999999996</v>
      </c>
      <c r="R15" s="943"/>
      <c r="S15" s="926">
        <f>SUM(S16:S21)</f>
        <v>1.22</v>
      </c>
      <c r="T15" s="942">
        <f>SUM(T16:T21)</f>
        <v>1</v>
      </c>
      <c r="U15" s="944">
        <v>0</v>
      </c>
      <c r="V15" s="942"/>
      <c r="Y15" s="901" t="s">
        <v>45</v>
      </c>
      <c r="Z15" s="902" t="s">
        <v>46</v>
      </c>
      <c r="AA15" s="903"/>
      <c r="AB15" s="942">
        <f>SUM(AB16:AB24)</f>
        <v>2.8090999999999999</v>
      </c>
      <c r="AC15" s="960">
        <f>SUM(AC16:AC24)</f>
        <v>0</v>
      </c>
      <c r="AD15" s="942">
        <f>SUM(AD16:AD24)</f>
        <v>2.6181648384168499</v>
      </c>
      <c r="AE15" s="961"/>
      <c r="AF15" s="942">
        <f>SUM(AF16:AF24)</f>
        <v>3.0366</v>
      </c>
      <c r="AG15" s="988">
        <f>SUM(AG16:AG24)</f>
        <v>0.3</v>
      </c>
      <c r="AH15" s="989">
        <f>AF15-AG15</f>
        <v>2.7366000000000001</v>
      </c>
      <c r="AI15" s="990" t="s">
        <v>47</v>
      </c>
      <c r="AL15" s="453" t="s">
        <v>40</v>
      </c>
      <c r="AM15" s="454" t="s">
        <v>48</v>
      </c>
      <c r="AN15" s="1103"/>
      <c r="AO15" s="1131">
        <f>海景嘉福汇报报告!E32/10000</f>
        <v>8.9846000000000004</v>
      </c>
      <c r="AP15" s="1132">
        <f>海景嘉福汇报报告!F32/10000</f>
        <v>1.17426195951158</v>
      </c>
      <c r="AQ15" s="1133">
        <f>海景嘉福汇报报告!G32/10000</f>
        <v>0</v>
      </c>
      <c r="AR15" s="1132">
        <f>海景嘉福汇报报告!H32/10000</f>
        <v>0</v>
      </c>
      <c r="AS15" s="1133"/>
      <c r="AT15" s="1131">
        <f>海景嘉福汇报报告!J32/10000</f>
        <v>5.8110999999999997</v>
      </c>
      <c r="AU15" s="1132">
        <f>海景嘉福汇报报告!K32/10000</f>
        <v>0.75949443190767996</v>
      </c>
      <c r="AV15" s="1133"/>
      <c r="AW15" s="1303">
        <f>海景嘉福汇报报告!M32/10000</f>
        <v>1.35E-2</v>
      </c>
      <c r="AX15" s="1303"/>
      <c r="AY15" s="1303">
        <f>海景嘉福汇报报告!O32/10000</f>
        <v>1.7644120443209899E-3</v>
      </c>
      <c r="AZ15" s="1304"/>
      <c r="BA15" s="1133"/>
      <c r="BB15" s="1131">
        <f>海景嘉福汇报报告!R32/10000</f>
        <v>5.8110999999999997</v>
      </c>
      <c r="BC15" s="1132">
        <f>海景嘉福汇报报告!S32/10000</f>
        <v>0.75949443190767996</v>
      </c>
      <c r="BD15" s="414"/>
      <c r="BE15" s="901" t="s">
        <v>45</v>
      </c>
      <c r="BF15" s="902" t="s">
        <v>46</v>
      </c>
      <c r="BG15" s="1080">
        <f>SUM(BG23:BG29)</f>
        <v>0</v>
      </c>
      <c r="BH15" s="958">
        <f>BH22+BH35+BH46+BH62-BH28-BH39-BH55-BH70</f>
        <v>10.157295</v>
      </c>
      <c r="BI15" s="961"/>
      <c r="BJ15" s="942">
        <f>BJ22+BJ35+BJ46+BJ62</f>
        <v>5.0586785305979483</v>
      </c>
      <c r="BK15" s="983">
        <f>BK22+BK35+BK46+BK62-BK65</f>
        <v>0.87412797029702971</v>
      </c>
      <c r="BL15" s="989">
        <f>BJ15-BK15</f>
        <v>4.1845505603009183</v>
      </c>
      <c r="BM15" s="1589" t="s">
        <v>47</v>
      </c>
      <c r="BN15" s="1627"/>
    </row>
    <row r="16" spans="2:66" s="406" customFormat="1" ht="17.45" customHeight="1" thickBot="1" x14ac:dyDescent="0.2">
      <c r="B16" s="906">
        <v>2.1</v>
      </c>
      <c r="C16" s="907" t="s">
        <v>49</v>
      </c>
      <c r="D16" s="908" t="s">
        <v>50</v>
      </c>
      <c r="E16" s="909">
        <v>1.2109000000000001</v>
      </c>
      <c r="F16" s="910" t="s">
        <v>50</v>
      </c>
      <c r="G16" s="911">
        <v>0.76</v>
      </c>
      <c r="H16" s="912"/>
      <c r="I16" s="909">
        <v>0</v>
      </c>
      <c r="J16" s="932"/>
      <c r="K16" s="909"/>
      <c r="N16" s="906">
        <v>2.1</v>
      </c>
      <c r="O16" s="907" t="s">
        <v>49</v>
      </c>
      <c r="P16" s="908" t="s">
        <v>50</v>
      </c>
      <c r="Q16" s="945">
        <v>1.9471290000000001</v>
      </c>
      <c r="R16" s="946"/>
      <c r="S16" s="947"/>
      <c r="T16" s="945">
        <v>0</v>
      </c>
      <c r="U16" s="948"/>
      <c r="V16" s="945"/>
      <c r="Y16" s="906">
        <v>2.1</v>
      </c>
      <c r="Z16" s="907" t="s">
        <v>49</v>
      </c>
      <c r="AA16" s="913" t="s">
        <v>51</v>
      </c>
      <c r="AB16" s="945">
        <v>0.67310000000000003</v>
      </c>
      <c r="AC16" s="962" t="s">
        <v>52</v>
      </c>
      <c r="AD16" s="945">
        <v>0.54971872050799997</v>
      </c>
      <c r="AE16" s="963" t="s">
        <v>53</v>
      </c>
      <c r="AF16" s="964"/>
      <c r="AG16" s="1359">
        <v>0</v>
      </c>
      <c r="AH16" s="1362">
        <f>AF16</f>
        <v>0</v>
      </c>
      <c r="AI16" s="1365"/>
      <c r="AL16" s="460">
        <v>1</v>
      </c>
      <c r="AM16" s="461" t="s">
        <v>54</v>
      </c>
      <c r="AN16" s="1104"/>
      <c r="AO16" s="1134">
        <f>海景嘉福汇报报告!E33/10000</f>
        <v>8.9846000000000004</v>
      </c>
      <c r="AP16" s="1135">
        <f>海景嘉福汇报报告!F33/10000</f>
        <v>1.17426195951158</v>
      </c>
      <c r="AQ16" s="1136">
        <f>海景嘉福汇报报告!G33/10000</f>
        <v>0</v>
      </c>
      <c r="AR16" s="1135">
        <f>海景嘉福汇报报告!H33/10000</f>
        <v>0</v>
      </c>
      <c r="AS16" s="1136"/>
      <c r="AT16" s="1134">
        <f>海景嘉福汇报报告!J33/10000</f>
        <v>5.8110999999999997</v>
      </c>
      <c r="AU16" s="1135">
        <f>海景嘉福汇报报告!K33/10000</f>
        <v>0.75949443190767996</v>
      </c>
      <c r="AV16" s="1136"/>
      <c r="AW16" s="1305">
        <f>海景嘉福汇报报告!M33/10000</f>
        <v>1.35E-2</v>
      </c>
      <c r="AX16" s="1305"/>
      <c r="AY16" s="1305">
        <f>海景嘉福汇报报告!O33/10000</f>
        <v>1.7644120443209899E-3</v>
      </c>
      <c r="AZ16" s="1306"/>
      <c r="BA16" s="1136"/>
      <c r="BB16" s="1134">
        <f>海景嘉福汇报报告!R33/10000</f>
        <v>5.8110999999999997</v>
      </c>
      <c r="BC16" s="1135">
        <f>海景嘉福汇报报告!S33/10000</f>
        <v>0.75949443190767996</v>
      </c>
      <c r="BD16" s="414"/>
      <c r="BE16" s="1612" t="s">
        <v>83</v>
      </c>
      <c r="BF16" s="1613" t="s">
        <v>84</v>
      </c>
      <c r="BG16" s="1614">
        <f>BG15-BG14</f>
        <v>0</v>
      </c>
      <c r="BH16" s="1615">
        <f>BH15-BH14</f>
        <v>6.6822949999999999</v>
      </c>
      <c r="BI16" s="1616"/>
      <c r="BJ16" s="1615">
        <f>BJ15-BJ14</f>
        <v>0.94714947119794779</v>
      </c>
      <c r="BK16" s="1617">
        <f>BK15-BK14</f>
        <v>-3.2374010891029705</v>
      </c>
      <c r="BL16" s="1618">
        <f>BJ16-BK16</f>
        <v>4.1845505603009183</v>
      </c>
      <c r="BM16" s="1619"/>
      <c r="BN16" s="1627"/>
    </row>
    <row r="17" spans="2:79" s="406" customFormat="1" ht="17.45" customHeight="1" thickBot="1" x14ac:dyDescent="0.25">
      <c r="B17" s="906">
        <v>2.2000000000000002</v>
      </c>
      <c r="C17" s="907" t="s">
        <v>56</v>
      </c>
      <c r="D17" s="913" t="s">
        <v>57</v>
      </c>
      <c r="E17" s="909">
        <v>0.37590000000000001</v>
      </c>
      <c r="F17" s="914" t="s">
        <v>57</v>
      </c>
      <c r="G17" s="911">
        <v>0.44</v>
      </c>
      <c r="H17" s="912"/>
      <c r="I17" s="909">
        <v>0.03</v>
      </c>
      <c r="J17" s="932">
        <f>+I17</f>
        <v>0.03</v>
      </c>
      <c r="K17" s="933" t="s">
        <v>58</v>
      </c>
      <c r="N17" s="906">
        <v>2.2000000000000002</v>
      </c>
      <c r="O17" s="907" t="s">
        <v>56</v>
      </c>
      <c r="P17" s="913" t="s">
        <v>57</v>
      </c>
      <c r="Q17" s="945">
        <v>0.64907099999999995</v>
      </c>
      <c r="R17" s="949" t="s">
        <v>59</v>
      </c>
      <c r="S17" s="950">
        <f>S14*10%*2.2</f>
        <v>0.22000000000000003</v>
      </c>
      <c r="T17" s="945">
        <v>0</v>
      </c>
      <c r="U17" s="948"/>
      <c r="V17" s="945"/>
      <c r="Y17" s="906">
        <v>2.2000000000000002</v>
      </c>
      <c r="Z17" s="965" t="s">
        <v>56</v>
      </c>
      <c r="AA17" s="913" t="s">
        <v>57</v>
      </c>
      <c r="AB17" s="945">
        <v>0.33589999999999998</v>
      </c>
      <c r="AC17" s="966"/>
      <c r="AD17" s="945">
        <v>0</v>
      </c>
      <c r="AE17" s="967"/>
      <c r="AF17" s="968"/>
      <c r="AG17" s="1360"/>
      <c r="AH17" s="1363"/>
      <c r="AI17" s="1366"/>
      <c r="AL17" s="467">
        <v>1.1000000000000001</v>
      </c>
      <c r="AM17" s="468" t="s">
        <v>60</v>
      </c>
      <c r="AN17" s="1105" t="str">
        <f>海景嘉福汇报报告!D34</f>
        <v>住宅15000元/㎡</v>
      </c>
      <c r="AO17" s="1137">
        <f>海景嘉福汇报报告!E34/10000</f>
        <v>7.6173000000000002</v>
      </c>
      <c r="AP17" s="1138">
        <f>海景嘉福汇报报告!F34/10000</f>
        <v>0.99555969371898101</v>
      </c>
      <c r="AQ17" s="1139">
        <f>海景嘉福汇报报告!G34/10000</f>
        <v>0</v>
      </c>
      <c r="AR17" s="1138">
        <f>海景嘉福汇报报告!H34/10000</f>
        <v>0</v>
      </c>
      <c r="AS17" s="1140" t="str">
        <f>海景嘉福汇报报告!I34</f>
        <v>按住宅均价8500元测算</v>
      </c>
      <c r="AT17" s="1137">
        <f>海景嘉福汇报报告!J34/10000</f>
        <v>4.2934999999999999</v>
      </c>
      <c r="AU17" s="1138">
        <f>海景嘉福汇报报告!K34/10000</f>
        <v>0.56114837868830703</v>
      </c>
      <c r="AV17" s="1140" t="str">
        <f>海景嘉福汇报报告!L34</f>
        <v>按住宅均价8500元</v>
      </c>
      <c r="AW17" s="1307">
        <f>海景嘉福汇报报告!M34/10000</f>
        <v>1.35E-2</v>
      </c>
      <c r="AX17" s="1307"/>
      <c r="AY17" s="1307">
        <f>海景嘉福汇报报告!O34/10000</f>
        <v>1.7644120443209899E-3</v>
      </c>
      <c r="AZ17" s="1308"/>
      <c r="BA17" s="1140" t="str">
        <f>海景嘉福汇报报告!Q34</f>
        <v>按住宅均价8500元测算</v>
      </c>
      <c r="BB17" s="1137">
        <f>海景嘉福汇报报告!R34/10000</f>
        <v>4.2934999999999999</v>
      </c>
      <c r="BC17" s="1138">
        <f>海景嘉福汇报报告!S34/10000</f>
        <v>0.56114837868830703</v>
      </c>
      <c r="BD17" s="414"/>
      <c r="BE17" s="1620" t="s">
        <v>644</v>
      </c>
      <c r="BF17" s="1621"/>
      <c r="BG17" s="1621"/>
      <c r="BH17" s="1621"/>
      <c r="BI17" s="1621"/>
      <c r="BJ17" s="1621"/>
      <c r="BK17" s="1621"/>
      <c r="BL17" s="1621"/>
      <c r="BM17" s="1622"/>
      <c r="BN17" s="1623"/>
    </row>
    <row r="18" spans="2:79" s="406" customFormat="1" ht="17.45" customHeight="1" thickBot="1" x14ac:dyDescent="0.25">
      <c r="B18" s="906">
        <v>2.2999999999999998</v>
      </c>
      <c r="C18" s="907" t="s">
        <v>62</v>
      </c>
      <c r="D18" s="913" t="s">
        <v>63</v>
      </c>
      <c r="E18" s="909">
        <v>0.08</v>
      </c>
      <c r="F18" s="910"/>
      <c r="G18" s="911">
        <v>0</v>
      </c>
      <c r="H18" s="912"/>
      <c r="I18" s="909">
        <v>0</v>
      </c>
      <c r="J18" s="932"/>
      <c r="K18" s="909" t="s">
        <v>64</v>
      </c>
      <c r="N18" s="906">
        <v>2.2999999999999998</v>
      </c>
      <c r="O18" s="907" t="s">
        <v>62</v>
      </c>
      <c r="P18" s="908"/>
      <c r="Q18" s="945">
        <v>0</v>
      </c>
      <c r="R18" s="946"/>
      <c r="S18" s="947"/>
      <c r="T18" s="945">
        <v>0</v>
      </c>
      <c r="U18" s="948"/>
      <c r="V18" s="945"/>
      <c r="Y18" s="906">
        <v>2.2999999999999998</v>
      </c>
      <c r="Z18" s="907" t="s">
        <v>62</v>
      </c>
      <c r="AA18" s="908"/>
      <c r="AB18" s="945">
        <v>0</v>
      </c>
      <c r="AC18" s="962"/>
      <c r="AD18" s="945">
        <v>0</v>
      </c>
      <c r="AE18" s="967"/>
      <c r="AF18" s="968"/>
      <c r="AG18" s="1360"/>
      <c r="AH18" s="1363"/>
      <c r="AI18" s="1366"/>
      <c r="AL18" s="467">
        <v>1.2</v>
      </c>
      <c r="AM18" s="468" t="s">
        <v>65</v>
      </c>
      <c r="AN18" s="1105" t="str">
        <f>海景嘉福汇报报告!D35</f>
        <v>商铺30000元/㎡</v>
      </c>
      <c r="AO18" s="1137">
        <f>海景嘉福汇报报告!E35/10000</f>
        <v>0.91210000000000002</v>
      </c>
      <c r="AP18" s="1138">
        <f>海景嘉福汇报报告!F35/10000</f>
        <v>0.11920890560186399</v>
      </c>
      <c r="AQ18" s="1139">
        <f>海景嘉福汇报报告!G35/10000</f>
        <v>0</v>
      </c>
      <c r="AR18" s="1138">
        <f>海景嘉福汇报报告!H35/10000</f>
        <v>0</v>
      </c>
      <c r="AS18" s="1140" t="str">
        <f>海景嘉福汇报报告!I35</f>
        <v>按商铺均价3万元测算</v>
      </c>
      <c r="AT18" s="1137">
        <f>海景嘉福汇报报告!J35/10000</f>
        <v>0.85760000000000003</v>
      </c>
      <c r="AU18" s="1138">
        <f>海景嘉福汇报报告!K35/10000</f>
        <v>0.11208590883034601</v>
      </c>
      <c r="AV18" s="1141"/>
      <c r="AW18" s="1309">
        <f>海景嘉福汇报报告!M35</f>
        <v>0</v>
      </c>
      <c r="AX18" s="1309"/>
      <c r="AY18" s="1309">
        <f>海景嘉福汇报报告!O35</f>
        <v>0</v>
      </c>
      <c r="AZ18" s="1310"/>
      <c r="BA18" s="1140" t="str">
        <f>海景嘉福汇报报告!Q35</f>
        <v>按商铺均价3万元测算</v>
      </c>
      <c r="BB18" s="1137">
        <f>海景嘉福汇报报告!R35/10000</f>
        <v>0.85760000000000003</v>
      </c>
      <c r="BC18" s="1138">
        <f>海景嘉福汇报报告!S35/10000</f>
        <v>0.11208590883034601</v>
      </c>
      <c r="BD18" s="414"/>
      <c r="BE18" s="1526" t="s">
        <v>0</v>
      </c>
      <c r="BF18" s="1527"/>
      <c r="BG18" s="1527"/>
      <c r="BH18" s="1527"/>
      <c r="BI18" s="1527"/>
      <c r="BJ18" s="1527"/>
      <c r="BK18" s="1527"/>
      <c r="BL18" s="1527"/>
      <c r="BM18" s="1527"/>
      <c r="BN18" s="1528"/>
    </row>
    <row r="19" spans="2:79" s="406" customFormat="1" ht="17.45" customHeight="1" thickBot="1" x14ac:dyDescent="0.25">
      <c r="B19" s="906">
        <v>2.4</v>
      </c>
      <c r="C19" s="907" t="s">
        <v>66</v>
      </c>
      <c r="D19" s="913" t="s">
        <v>67</v>
      </c>
      <c r="E19" s="909">
        <v>0.95027499999999998</v>
      </c>
      <c r="F19" s="914" t="s">
        <v>67</v>
      </c>
      <c r="G19" s="911">
        <v>-1.2</v>
      </c>
      <c r="H19" s="912"/>
      <c r="I19" s="909">
        <v>0</v>
      </c>
      <c r="J19" s="932"/>
      <c r="K19" s="909" t="s">
        <v>68</v>
      </c>
      <c r="N19" s="906">
        <v>2.4</v>
      </c>
      <c r="O19" s="907" t="s">
        <v>66</v>
      </c>
      <c r="P19" s="913" t="s">
        <v>69</v>
      </c>
      <c r="Q19" s="945">
        <v>2.50014</v>
      </c>
      <c r="R19" s="946"/>
      <c r="S19" s="947"/>
      <c r="T19" s="945">
        <v>0</v>
      </c>
      <c r="U19" s="948"/>
      <c r="V19" s="945"/>
      <c r="Y19" s="906">
        <v>2.4</v>
      </c>
      <c r="Z19" s="907" t="s">
        <v>66</v>
      </c>
      <c r="AA19" s="913" t="s">
        <v>70</v>
      </c>
      <c r="AB19" s="945">
        <v>0.92510000000000003</v>
      </c>
      <c r="AC19" s="966" t="s">
        <v>70</v>
      </c>
      <c r="AD19" s="945">
        <v>1.0478461179088501</v>
      </c>
      <c r="AE19" s="967"/>
      <c r="AF19" s="968"/>
      <c r="AG19" s="1360"/>
      <c r="AH19" s="1363"/>
      <c r="AI19" s="1366"/>
      <c r="AL19" s="467">
        <v>1.3</v>
      </c>
      <c r="AM19" s="468" t="s">
        <v>71</v>
      </c>
      <c r="AN19" s="1105" t="str">
        <f>海景嘉福汇报报告!D36</f>
        <v>车位8万元/个</v>
      </c>
      <c r="AO19" s="1137">
        <f>海景嘉福汇报报告!E36/10000</f>
        <v>0.45519999999999999</v>
      </c>
      <c r="AP19" s="1138">
        <f>海景嘉福汇报报告!F36/10000</f>
        <v>5.9493360190734201E-2</v>
      </c>
      <c r="AQ19" s="1139">
        <f>海景嘉福汇报报告!G36/10000</f>
        <v>0</v>
      </c>
      <c r="AR19" s="1138">
        <f>海景嘉福汇报报告!H36/10000</f>
        <v>0</v>
      </c>
      <c r="AS19" s="1140" t="str">
        <f>海景嘉福汇报报告!I36</f>
        <v>按车位12万元/个测算</v>
      </c>
      <c r="AT19" s="1137">
        <f>海景嘉福汇报报告!J36/10000</f>
        <v>0.65999999999999903</v>
      </c>
      <c r="AU19" s="1138">
        <f>海景嘉福汇报报告!K36/10000</f>
        <v>8.6260144389025795E-2</v>
      </c>
      <c r="AV19" s="1141"/>
      <c r="AW19" s="1309">
        <f>海景嘉福汇报报告!M36</f>
        <v>0</v>
      </c>
      <c r="AX19" s="1309"/>
      <c r="AY19" s="1309">
        <v>0</v>
      </c>
      <c r="AZ19" s="1310"/>
      <c r="BA19" s="1140" t="str">
        <f>海景嘉福汇报报告!Q36</f>
        <v>按车位12万元/个测算</v>
      </c>
      <c r="BB19" s="1137">
        <f>海景嘉福汇报报告!R36/10000</f>
        <v>0.65999999999999903</v>
      </c>
      <c r="BC19" s="1138">
        <f>海景嘉福汇报报告!S36/10000</f>
        <v>8.6260144389025795E-2</v>
      </c>
      <c r="BD19" s="414"/>
      <c r="BE19" s="1274" t="s">
        <v>8</v>
      </c>
      <c r="BF19" s="1352" t="s">
        <v>9</v>
      </c>
      <c r="BG19" s="1272" t="s">
        <v>10</v>
      </c>
      <c r="BH19" s="1273"/>
      <c r="BI19" s="1289" t="s">
        <v>643</v>
      </c>
      <c r="BJ19" s="1273"/>
      <c r="BK19" s="1374" t="s">
        <v>13</v>
      </c>
      <c r="BL19" s="1275"/>
      <c r="BM19" s="1275"/>
      <c r="BN19" s="1582" t="s">
        <v>647</v>
      </c>
    </row>
    <row r="20" spans="2:79" s="406" customFormat="1" ht="17.45" customHeight="1" thickBot="1" x14ac:dyDescent="0.2">
      <c r="B20" s="906">
        <v>2.5</v>
      </c>
      <c r="C20" s="907" t="s">
        <v>72</v>
      </c>
      <c r="D20" s="915"/>
      <c r="E20" s="909"/>
      <c r="F20" s="912"/>
      <c r="G20" s="911">
        <v>-0.25</v>
      </c>
      <c r="H20" s="912"/>
      <c r="I20" s="909">
        <v>-0.1</v>
      </c>
      <c r="J20" s="932">
        <f>I20</f>
        <v>-0.1</v>
      </c>
      <c r="K20" s="909" t="s">
        <v>73</v>
      </c>
      <c r="N20" s="906">
        <v>2.5</v>
      </c>
      <c r="O20" s="907" t="s">
        <v>72</v>
      </c>
      <c r="P20" s="915"/>
      <c r="Q20" s="945"/>
      <c r="R20" s="946"/>
      <c r="S20" s="951"/>
      <c r="T20" s="945">
        <v>0</v>
      </c>
      <c r="U20" s="948"/>
      <c r="V20" s="945"/>
      <c r="Y20" s="906">
        <v>2.5</v>
      </c>
      <c r="Z20" s="907" t="s">
        <v>74</v>
      </c>
      <c r="AA20" s="915"/>
      <c r="AB20" s="945">
        <v>0</v>
      </c>
      <c r="AC20" s="948"/>
      <c r="AD20" s="945">
        <v>-0.2</v>
      </c>
      <c r="AE20" s="969"/>
      <c r="AF20" s="970"/>
      <c r="AG20" s="1361"/>
      <c r="AH20" s="1364"/>
      <c r="AI20" s="1367"/>
      <c r="AL20" s="474" t="s">
        <v>45</v>
      </c>
      <c r="AM20" s="475" t="s">
        <v>75</v>
      </c>
      <c r="AN20" s="1106"/>
      <c r="AO20" s="1142">
        <f>海景嘉福汇报报告!E37/10000</f>
        <v>8.3800000000000008</v>
      </c>
      <c r="AP20" s="1143">
        <f>海景嘉福汇报报告!F37/10000</f>
        <v>1.0952424393636899</v>
      </c>
      <c r="AQ20" s="1144">
        <f>海景嘉福汇报报告!G37/10000</f>
        <v>4.3443368874999999</v>
      </c>
      <c r="AR20" s="1143">
        <f>海景嘉福汇报报告!H37/10000</f>
        <v>0.56779261695503302</v>
      </c>
      <c r="AS20" s="1144"/>
      <c r="AT20" s="1142">
        <f>海景嘉福汇报报告!J37/10000</f>
        <v>6.6380337361990795</v>
      </c>
      <c r="AU20" s="1143">
        <f>海景嘉福汇报报告!K37/10000</f>
        <v>0.86757234627842095</v>
      </c>
      <c r="AV20" s="1144"/>
      <c r="AW20" s="1311">
        <f>海景嘉福汇报报告!M37/10000</f>
        <v>4.5307190006999996</v>
      </c>
      <c r="AX20" s="1311"/>
      <c r="AY20" s="1311">
        <f>海景嘉福汇报报告!O37/10000</f>
        <v>0.59215223513103799</v>
      </c>
      <c r="AZ20" s="1312"/>
      <c r="BA20" s="1144"/>
      <c r="BB20" s="1142">
        <f>海景嘉福汇报报告!R37/10000</f>
        <v>6.6380337361990795</v>
      </c>
      <c r="BC20" s="1143">
        <f>海景嘉福汇报报告!S37/10000</f>
        <v>0.86757234627842095</v>
      </c>
      <c r="BD20" s="414"/>
      <c r="BE20" s="1351"/>
      <c r="BF20" s="1353"/>
      <c r="BG20" s="891" t="s">
        <v>21</v>
      </c>
      <c r="BH20" s="892" t="s">
        <v>22</v>
      </c>
      <c r="BI20" s="890" t="s">
        <v>21</v>
      </c>
      <c r="BJ20" s="892" t="s">
        <v>22</v>
      </c>
      <c r="BK20" s="937" t="s">
        <v>30</v>
      </c>
      <c r="BL20" s="937" t="s">
        <v>31</v>
      </c>
      <c r="BM20" s="1587" t="s">
        <v>23</v>
      </c>
      <c r="BN20" s="1583"/>
    </row>
    <row r="21" spans="2:79" s="406" customFormat="1" ht="17.45" customHeight="1" thickBot="1" x14ac:dyDescent="0.25">
      <c r="B21" s="906">
        <v>2.6</v>
      </c>
      <c r="C21" s="907" t="s">
        <v>76</v>
      </c>
      <c r="D21" s="915"/>
      <c r="E21" s="909">
        <v>1</v>
      </c>
      <c r="F21" s="912"/>
      <c r="G21" s="911">
        <v>0.62</v>
      </c>
      <c r="H21" s="912"/>
      <c r="I21" s="909">
        <v>0.62</v>
      </c>
      <c r="J21" s="932">
        <f>I21</f>
        <v>0.62</v>
      </c>
      <c r="K21" s="909" t="s">
        <v>77</v>
      </c>
      <c r="N21" s="906">
        <v>2.6</v>
      </c>
      <c r="O21" s="907" t="s">
        <v>76</v>
      </c>
      <c r="P21" s="915"/>
      <c r="Q21" s="945">
        <v>1</v>
      </c>
      <c r="R21" s="946"/>
      <c r="S21" s="951">
        <v>1</v>
      </c>
      <c r="T21" s="911">
        <v>1</v>
      </c>
      <c r="U21" s="952">
        <v>0</v>
      </c>
      <c r="V21" s="945" t="s">
        <v>78</v>
      </c>
      <c r="Y21" s="906">
        <v>2.6</v>
      </c>
      <c r="Z21" s="907" t="s">
        <v>79</v>
      </c>
      <c r="AA21" s="915"/>
      <c r="AB21" s="945"/>
      <c r="AC21" s="948"/>
      <c r="AD21" s="945"/>
      <c r="AE21" s="971" t="s">
        <v>80</v>
      </c>
      <c r="AF21" s="972">
        <f>80000*1%*20%/10000</f>
        <v>1.6E-2</v>
      </c>
      <c r="AG21" s="993"/>
      <c r="AH21" s="994"/>
      <c r="AI21" s="995"/>
      <c r="AL21" s="467">
        <v>2.1</v>
      </c>
      <c r="AM21" s="1259" t="s">
        <v>640</v>
      </c>
      <c r="AN21" s="1107">
        <f>海景嘉福汇报报告!D39</f>
        <v>5.0642210003784299E-2</v>
      </c>
      <c r="AO21" s="1145">
        <f>海景嘉福汇报报告!E39/10000</f>
        <v>0.45500000000000002</v>
      </c>
      <c r="AP21" s="1146">
        <f>海景嘉福汇报报告!F39/10000</f>
        <v>5.9467220753040603E-2</v>
      </c>
      <c r="AQ21" s="1139">
        <f>海景嘉福汇报报告!G39/10000</f>
        <v>0.41486409469999996</v>
      </c>
      <c r="AR21" s="1138">
        <f>海景嘉福汇报报告!H39/10000</f>
        <v>5.4221570773703799E-2</v>
      </c>
      <c r="AS21" s="1148">
        <f>海景嘉福汇报报告!I39</f>
        <v>7.8298428868888895E-2</v>
      </c>
      <c r="AT21" s="1137">
        <f>海景嘉福汇报报告!J39/10000</f>
        <v>0.45500000000000002</v>
      </c>
      <c r="AU21" s="1138">
        <f>海景嘉福汇报报告!K39/10000</f>
        <v>5.9467220753040603E-2</v>
      </c>
      <c r="AV21" s="1147"/>
      <c r="AW21" s="1313">
        <f>海景嘉福汇报报告!M39/10000</f>
        <v>0.41486409469999996</v>
      </c>
      <c r="AX21" s="1313"/>
      <c r="AY21" s="1313">
        <f>海景嘉福汇报报告!O39/10000</f>
        <v>5.4221570773703799E-2</v>
      </c>
      <c r="AZ21" s="1314"/>
      <c r="BA21" s="1197">
        <f>海景嘉福汇报报告!Q39</f>
        <v>7.8298428868888895E-2</v>
      </c>
      <c r="BB21" s="1145">
        <f>海景嘉福汇报报告!R39/10000</f>
        <v>0.45500000000000002</v>
      </c>
      <c r="BC21" s="1146">
        <f>海景嘉福汇报报告!S39/10000</f>
        <v>5.9467220753040603E-2</v>
      </c>
      <c r="BD21" s="414"/>
      <c r="BE21" s="893" t="s">
        <v>40</v>
      </c>
      <c r="BF21" s="894" t="s">
        <v>41</v>
      </c>
      <c r="BG21" s="1543"/>
      <c r="BH21" s="1544">
        <f>永华工业园!C128/10000</f>
        <v>1</v>
      </c>
      <c r="BI21" s="1571"/>
      <c r="BJ21" s="1572">
        <f>永华工业园!K128/10000</f>
        <v>0.61599999999999999</v>
      </c>
      <c r="BK21" s="1535">
        <f>BJ21</f>
        <v>0.61599999999999999</v>
      </c>
      <c r="BL21" s="1530">
        <f>BJ21-BK21</f>
        <v>0</v>
      </c>
      <c r="BM21" s="1591" t="s">
        <v>42</v>
      </c>
      <c r="BN21" s="1624">
        <f>BJ29/BJ21</f>
        <v>-0.1161931818181819</v>
      </c>
    </row>
    <row r="22" spans="2:79" s="881" customFormat="1" ht="17.45" customHeight="1" thickBot="1" x14ac:dyDescent="0.25">
      <c r="B22" s="901" t="s">
        <v>83</v>
      </c>
      <c r="C22" s="902" t="s">
        <v>84</v>
      </c>
      <c r="D22" s="903"/>
      <c r="E22" s="916">
        <f>E15-E14</f>
        <v>2.6170750000000003</v>
      </c>
      <c r="F22" s="917"/>
      <c r="G22" s="918">
        <f>G15-G14</f>
        <v>-0.25</v>
      </c>
      <c r="H22" s="919"/>
      <c r="I22" s="934">
        <f>I15-I14</f>
        <v>-6.9999999999999951E-2</v>
      </c>
      <c r="J22" s="919">
        <f>+I22</f>
        <v>-6.9999999999999951E-2</v>
      </c>
      <c r="K22" s="904"/>
      <c r="N22" s="901" t="s">
        <v>83</v>
      </c>
      <c r="O22" s="902" t="s">
        <v>84</v>
      </c>
      <c r="P22" s="903"/>
      <c r="Q22" s="916">
        <f>Q15-Q14</f>
        <v>5.0963399999999996</v>
      </c>
      <c r="R22" s="953"/>
      <c r="S22" s="926">
        <f>S15-S14</f>
        <v>0.21999999999999997</v>
      </c>
      <c r="T22" s="954">
        <f>T15-T14</f>
        <v>0</v>
      </c>
      <c r="U22" s="944">
        <f>U15-U14</f>
        <v>-1</v>
      </c>
      <c r="V22" s="954" t="s">
        <v>85</v>
      </c>
      <c r="Y22" s="906">
        <v>2.7</v>
      </c>
      <c r="Z22" s="907" t="s">
        <v>86</v>
      </c>
      <c r="AA22" s="915"/>
      <c r="AB22" s="945"/>
      <c r="AC22" s="948"/>
      <c r="AD22" s="945"/>
      <c r="AE22" s="973" t="s">
        <v>87</v>
      </c>
      <c r="AF22" s="974">
        <v>1.4</v>
      </c>
      <c r="AG22" s="993"/>
      <c r="AH22" s="994">
        <f>AF22</f>
        <v>1.4</v>
      </c>
      <c r="AI22" s="995" t="s">
        <v>88</v>
      </c>
      <c r="AL22" s="467"/>
      <c r="AM22" s="1259" t="s">
        <v>641</v>
      </c>
      <c r="AN22" s="1107">
        <f>海景嘉福汇报报告!D40</f>
        <v>0.64909957037597699</v>
      </c>
      <c r="AO22" s="1145">
        <f>海景嘉福汇报报告!E40/10000</f>
        <v>5.8319000000000001</v>
      </c>
      <c r="AP22" s="1146">
        <f>海景嘉福汇报报告!F40/10000</f>
        <v>0.76221293342781904</v>
      </c>
      <c r="AQ22" s="1139">
        <f>海景嘉福汇报报告!G40/10000</f>
        <v>3.6813401819</v>
      </c>
      <c r="AR22" s="1138">
        <f>海景嘉福汇报报告!H40/10000</f>
        <v>0.48114081156942001</v>
      </c>
      <c r="AS22" s="1148">
        <f>海景嘉福汇报报告!I40</f>
        <v>0.84870247285367695</v>
      </c>
      <c r="AT22" s="1137">
        <f>海景嘉福汇报报告!J40/10000</f>
        <v>4.9318949399999994</v>
      </c>
      <c r="AU22" s="1138">
        <f>海景嘉福汇报报告!K40/10000</f>
        <v>0.64458480247864602</v>
      </c>
      <c r="AV22" s="1147"/>
      <c r="AW22" s="1313">
        <f>海景嘉福汇报报告!M40/10000</f>
        <v>3.8700216898999997</v>
      </c>
      <c r="AX22" s="1313"/>
      <c r="AY22" s="1313">
        <f>海景嘉福汇报报告!O40/10000</f>
        <v>0.50580095418096394</v>
      </c>
      <c r="AZ22" s="1314"/>
      <c r="BA22" s="1197">
        <f>海景嘉福汇报报告!Q40</f>
        <v>0.84870247285367695</v>
      </c>
      <c r="BB22" s="1145">
        <f>海景嘉福汇报报告!R40/10000</f>
        <v>4.9318949399999994</v>
      </c>
      <c r="BC22" s="1146">
        <f>海景嘉福汇报报告!S40/10000</f>
        <v>0.64458480247864602</v>
      </c>
      <c r="BD22" s="414"/>
      <c r="BE22" s="901" t="s">
        <v>45</v>
      </c>
      <c r="BF22" s="902" t="s">
        <v>46</v>
      </c>
      <c r="BG22" s="1549"/>
      <c r="BH22" s="1573">
        <f>SUM(BH23:BH28)</f>
        <v>3.6170750000000003</v>
      </c>
      <c r="BI22" s="1574">
        <f>SUM(BI23:BI28)</f>
        <v>0</v>
      </c>
      <c r="BJ22" s="1515">
        <f>SUM(BJ23:BJ28)</f>
        <v>0.54442499999999994</v>
      </c>
      <c r="BK22" s="1536">
        <f>SUM(BK23:BK28)</f>
        <v>0.54442499999999994</v>
      </c>
      <c r="BL22" s="1530">
        <f t="shared" ref="BL22:BL28" si="0">BJ22-BK22</f>
        <v>0</v>
      </c>
      <c r="BM22" s="1592"/>
      <c r="BN22" s="1625"/>
      <c r="BO22" s="406"/>
      <c r="BP22" s="406"/>
      <c r="BQ22" s="406"/>
      <c r="BR22" s="406"/>
      <c r="BS22" s="406"/>
      <c r="BT22" s="406"/>
      <c r="BU22" s="406"/>
      <c r="BV22" s="406"/>
      <c r="BW22" s="406"/>
      <c r="BX22" s="406"/>
      <c r="BY22" s="406"/>
      <c r="BZ22" s="406"/>
      <c r="CA22" s="406"/>
    </row>
    <row r="23" spans="2:79" s="881" customFormat="1" ht="17.45" customHeight="1" thickBot="1" x14ac:dyDescent="0.25">
      <c r="B23" s="920"/>
      <c r="C23" s="921" t="s">
        <v>90</v>
      </c>
      <c r="D23" s="922"/>
      <c r="E23" s="923">
        <f>E22/E14</f>
        <v>2.6170750000000003</v>
      </c>
      <c r="F23" s="924"/>
      <c r="G23" s="925">
        <f>G22/G14</f>
        <v>-0.40322580645161293</v>
      </c>
      <c r="H23" s="926"/>
      <c r="I23" s="925">
        <f>I22/I14</f>
        <v>-0.11290322580645154</v>
      </c>
      <c r="J23" s="935">
        <f>+I23</f>
        <v>-0.11290322580645154</v>
      </c>
      <c r="K23" s="936"/>
      <c r="N23" s="920"/>
      <c r="O23" s="921" t="s">
        <v>90</v>
      </c>
      <c r="P23" s="922"/>
      <c r="Q23" s="923">
        <f>Q22/Q14</f>
        <v>5.0963399999999996</v>
      </c>
      <c r="R23" s="935"/>
      <c r="S23" s="935">
        <f>S22/S14</f>
        <v>0.21999999999999997</v>
      </c>
      <c r="T23" s="925">
        <f>T22/T14</f>
        <v>0</v>
      </c>
      <c r="U23" s="955">
        <f>U22/U14</f>
        <v>-1</v>
      </c>
      <c r="V23" s="925"/>
      <c r="Y23" s="906">
        <v>2.8</v>
      </c>
      <c r="Z23" s="907" t="s">
        <v>91</v>
      </c>
      <c r="AA23" s="915"/>
      <c r="AB23" s="945"/>
      <c r="AC23" s="948"/>
      <c r="AD23" s="945"/>
      <c r="AE23" s="973" t="s">
        <v>92</v>
      </c>
      <c r="AF23" s="975">
        <v>0.4</v>
      </c>
      <c r="AG23" s="993"/>
      <c r="AH23" s="994"/>
      <c r="AI23" s="995"/>
      <c r="AL23" s="467">
        <v>2.2000000000000002</v>
      </c>
      <c r="AM23" s="468" t="s">
        <v>89</v>
      </c>
      <c r="AN23" s="1108">
        <f>海景嘉福汇报报告!D44</f>
        <v>2.29949023885315E-2</v>
      </c>
      <c r="AO23" s="1137">
        <f>海景嘉福汇报报告!E44/10000</f>
        <v>0.20660000000000001</v>
      </c>
      <c r="AP23" s="1138">
        <f>海景嘉福汇报报告!F44/10000</f>
        <v>2.70020391375345E-2</v>
      </c>
      <c r="AQ23" s="1139">
        <f>海景嘉福汇报报告!G44/10000</f>
        <v>4.8209631599999997E-2</v>
      </c>
      <c r="AR23" s="1138">
        <f>海景嘉福汇报报告!H44/10000</f>
        <v>6.3008633072087102E-3</v>
      </c>
      <c r="AS23" s="1149" t="str">
        <f>海景嘉福汇报报告!I44</f>
        <v>按5.8%测算</v>
      </c>
      <c r="AT23" s="1137">
        <f>海景嘉福汇报报告!J44/10000</f>
        <v>0.33704460619999999</v>
      </c>
      <c r="AU23" s="1138">
        <f>海景嘉福汇报报告!K44/10000</f>
        <v>4.4050782418718799E-2</v>
      </c>
      <c r="AV23" s="1139"/>
      <c r="AW23" s="1307">
        <f>海景嘉福汇报报告!M44/10000</f>
        <v>7.4419222800000004E-2</v>
      </c>
      <c r="AX23" s="1307"/>
      <c r="AY23" s="1307">
        <f>海景嘉福汇报报告!O44/10000</f>
        <v>9.7263831879501397E-3</v>
      </c>
      <c r="AZ23" s="1308"/>
      <c r="BA23" s="1197" t="str">
        <f>海景嘉福汇报报告!Q44</f>
        <v>按5.8%测算</v>
      </c>
      <c r="BB23" s="1137">
        <f>海景嘉福汇报报告!R44/10000</f>
        <v>0.33704460619999999</v>
      </c>
      <c r="BC23" s="1138">
        <f>海景嘉福汇报报告!S44/10000</f>
        <v>4.4050782418718799E-2</v>
      </c>
      <c r="BD23" s="414"/>
      <c r="BE23" s="906">
        <v>2.1</v>
      </c>
      <c r="BF23" s="907" t="s">
        <v>49</v>
      </c>
      <c r="BG23" s="1554" t="s">
        <v>50</v>
      </c>
      <c r="BH23" s="1575">
        <f>永华工业园!C117/10000</f>
        <v>1.2109000000000001</v>
      </c>
      <c r="BI23" s="1576"/>
      <c r="BJ23" s="1577">
        <f>永华工业园!K117/10000</f>
        <v>0</v>
      </c>
      <c r="BK23" s="1537">
        <v>0</v>
      </c>
      <c r="BL23" s="1530">
        <f t="shared" si="0"/>
        <v>0</v>
      </c>
      <c r="BM23" s="1593"/>
      <c r="BN23" s="1625"/>
      <c r="BO23" s="406"/>
      <c r="BP23" s="406"/>
      <c r="BQ23" s="406"/>
      <c r="BR23" s="406"/>
      <c r="BS23" s="406"/>
      <c r="BT23" s="406"/>
      <c r="BU23" s="406"/>
      <c r="BV23" s="406"/>
      <c r="BW23" s="406"/>
      <c r="BX23" s="406"/>
      <c r="BY23" s="406"/>
      <c r="BZ23" s="406"/>
      <c r="CA23" s="406"/>
    </row>
    <row r="24" spans="2:79" s="414" customFormat="1" ht="17.45" customHeight="1" thickBot="1" x14ac:dyDescent="0.2">
      <c r="B24" s="1315" t="s">
        <v>95</v>
      </c>
      <c r="C24" s="1316"/>
      <c r="D24" s="1316"/>
      <c r="E24" s="1316"/>
      <c r="F24" s="1316"/>
      <c r="G24" s="1316"/>
      <c r="H24" s="1316"/>
      <c r="I24" s="1316"/>
      <c r="J24" s="1316"/>
      <c r="K24" s="1317"/>
      <c r="N24" s="1315" t="s">
        <v>96</v>
      </c>
      <c r="O24" s="1316"/>
      <c r="P24" s="1316"/>
      <c r="Q24" s="1316"/>
      <c r="R24" s="1316"/>
      <c r="S24" s="1316"/>
      <c r="T24" s="1316"/>
      <c r="U24" s="1316"/>
      <c r="V24" s="1317"/>
      <c r="Y24" s="906">
        <v>2.9</v>
      </c>
      <c r="Z24" s="907" t="s">
        <v>76</v>
      </c>
      <c r="AA24" s="915"/>
      <c r="AB24" s="945">
        <f>AB14</f>
        <v>0.875</v>
      </c>
      <c r="AC24" s="948"/>
      <c r="AD24" s="945">
        <f>AD14</f>
        <v>1.2205999999999999</v>
      </c>
      <c r="AE24" s="976"/>
      <c r="AF24" s="945">
        <v>1.2205999999999999</v>
      </c>
      <c r="AG24" s="996">
        <v>0.3</v>
      </c>
      <c r="AH24" s="997">
        <f>AF24-AG24</f>
        <v>0.92059999999999986</v>
      </c>
      <c r="AI24" s="998" t="s">
        <v>97</v>
      </c>
      <c r="AL24" s="467">
        <v>2.2999999999999998</v>
      </c>
      <c r="AM24" s="468" t="s">
        <v>93</v>
      </c>
      <c r="AN24" s="1109">
        <f>海景嘉福汇报报告!D45</f>
        <v>6.1994969169467798E-2</v>
      </c>
      <c r="AO24" s="1137">
        <f>海景嘉福汇报报告!E45/10000</f>
        <v>0.55700000000000005</v>
      </c>
      <c r="AP24" s="1138">
        <f>海景嘉福汇报报告!F45/10000</f>
        <v>7.2798333976799204E-2</v>
      </c>
      <c r="AQ24" s="1139">
        <f>海景嘉福汇报报告!G45/10000</f>
        <v>0.14161463690000001</v>
      </c>
      <c r="AR24" s="1138">
        <f>海景嘉福汇报报告!H45/10000</f>
        <v>1.8508634888777999E-2</v>
      </c>
      <c r="AS24" s="1149" t="str">
        <f>海景嘉福汇报报告!I45</f>
        <v>实际需求计算</v>
      </c>
      <c r="AT24" s="1137">
        <f>海景嘉福汇报报告!J45/10000</f>
        <v>0.12784450580000001</v>
      </c>
      <c r="AU24" s="1138">
        <f>海景嘉福汇报报告!K45/10000</f>
        <v>1.67089174691692E-2</v>
      </c>
      <c r="AV24" s="1139"/>
      <c r="AW24" s="1307">
        <f>海景嘉福汇报报告!M45/10000</f>
        <v>0.15342789170000001</v>
      </c>
      <c r="AX24" s="1307"/>
      <c r="AY24" s="1307">
        <f>海景嘉福汇报报告!O45/10000</f>
        <v>2.00525940777967E-2</v>
      </c>
      <c r="AZ24" s="1308"/>
      <c r="BA24" s="1197" t="str">
        <f>海景嘉福汇报报告!Q45</f>
        <v>实际需求计算</v>
      </c>
      <c r="BB24" s="1137">
        <f>海景嘉福汇报报告!R45/10000</f>
        <v>0.12784450580000001</v>
      </c>
      <c r="BC24" s="1138">
        <f>海景嘉福汇报报告!S45/10000</f>
        <v>1.67089174691692E-2</v>
      </c>
      <c r="BE24" s="906">
        <v>2.2000000000000002</v>
      </c>
      <c r="BF24" s="907" t="s">
        <v>56</v>
      </c>
      <c r="BG24" s="1560" t="s">
        <v>57</v>
      </c>
      <c r="BH24" s="1575">
        <f>永华工业园!C118/10000</f>
        <v>0.37590000000000001</v>
      </c>
      <c r="BI24" s="1578"/>
      <c r="BJ24" s="1577">
        <f>永华工业园!K122/10000</f>
        <v>2.8424999999999999E-2</v>
      </c>
      <c r="BK24" s="1537">
        <f>永华工业园!O122/10000</f>
        <v>2.8424999999999999E-2</v>
      </c>
      <c r="BL24" s="1530">
        <f t="shared" si="0"/>
        <v>0</v>
      </c>
      <c r="BM24" s="1594" t="s">
        <v>645</v>
      </c>
      <c r="BN24" s="1625"/>
      <c r="BO24" s="881"/>
      <c r="BP24" s="881"/>
      <c r="BQ24" s="881"/>
      <c r="BR24" s="881"/>
      <c r="BS24" s="881"/>
      <c r="BT24" s="881"/>
      <c r="BU24" s="881"/>
      <c r="BV24" s="881"/>
      <c r="BW24" s="881"/>
      <c r="BX24" s="881"/>
      <c r="BY24" s="881"/>
      <c r="BZ24" s="881"/>
      <c r="CA24" s="881"/>
    </row>
    <row r="25" spans="2:79" s="414" customFormat="1" ht="17.45" customHeight="1" thickBot="1" x14ac:dyDescent="0.2">
      <c r="B25" s="415"/>
      <c r="D25" s="415"/>
      <c r="E25" s="927"/>
      <c r="G25" s="927"/>
      <c r="I25" s="927"/>
      <c r="N25" s="1318"/>
      <c r="O25" s="1318"/>
      <c r="P25" s="1318"/>
      <c r="Q25" s="1318"/>
      <c r="R25" s="1318"/>
      <c r="S25" s="1318"/>
      <c r="T25" s="1318"/>
      <c r="U25" s="1318"/>
      <c r="V25" s="1318"/>
      <c r="Y25" s="901" t="s">
        <v>83</v>
      </c>
      <c r="Z25" s="902" t="s">
        <v>84</v>
      </c>
      <c r="AA25" s="903"/>
      <c r="AB25" s="916">
        <f>AB15-AB14</f>
        <v>1.9340999999999999</v>
      </c>
      <c r="AC25" s="917"/>
      <c r="AD25" s="954">
        <f>AD15-AD14</f>
        <v>1.39756483841685</v>
      </c>
      <c r="AE25" s="977"/>
      <c r="AF25" s="954">
        <f>AF15-AF14</f>
        <v>1.8160000000000001</v>
      </c>
      <c r="AG25" s="999">
        <f>AG15-AG14</f>
        <v>-0.92059999999999986</v>
      </c>
      <c r="AH25" s="1000">
        <f>AH15-AH14</f>
        <v>2.7366000000000001</v>
      </c>
      <c r="AI25" s="1001"/>
      <c r="AL25" s="467">
        <v>2.4</v>
      </c>
      <c r="AM25" s="468" t="s">
        <v>98</v>
      </c>
      <c r="AN25" s="1109">
        <f>海景嘉福汇报报告!D48</f>
        <v>6.7927342341339597E-2</v>
      </c>
      <c r="AO25" s="1137">
        <f>海景嘉福汇报报告!E48/10000</f>
        <v>0.61029999999999995</v>
      </c>
      <c r="AP25" s="1138">
        <f>海景嘉福汇报报告!F48/10000</f>
        <v>7.9764494122155305E-2</v>
      </c>
      <c r="AQ25" s="1139">
        <f>海景嘉福汇报报告!G48/10000</f>
        <v>5.7057674899999994E-2</v>
      </c>
      <c r="AR25" s="1138">
        <f>海景嘉福汇报报告!H48/10000</f>
        <v>7.4572776899637901E-3</v>
      </c>
      <c r="AS25" s="1149" t="str">
        <f>海景嘉福汇报报告!I48</f>
        <v>按融资展期1.5年计算</v>
      </c>
      <c r="AT25" s="1137">
        <f>海景嘉福汇报报告!J48/10000</f>
        <v>0.73909999999999998</v>
      </c>
      <c r="AU25" s="1138">
        <f>海景嘉福汇报报告!K48/10000</f>
        <v>9.6598291996862207E-2</v>
      </c>
      <c r="AV25" s="1139"/>
      <c r="AW25" s="1307">
        <f>海景嘉福汇报报告!M48/10000</f>
        <v>1.5934038500000001E-2</v>
      </c>
      <c r="AX25" s="1307"/>
      <c r="AY25" s="1307">
        <f>海景嘉福汇报报告!O48/10000</f>
        <v>2.0825340328943899E-3</v>
      </c>
      <c r="AZ25" s="1308"/>
      <c r="BA25" s="1197" t="str">
        <f>海景嘉福汇报报告!Q48</f>
        <v>按融资展期1.5年计算</v>
      </c>
      <c r="BB25" s="1137">
        <f>海景嘉福汇报报告!R48/10000</f>
        <v>0.73909999999999998</v>
      </c>
      <c r="BC25" s="1138">
        <f>海景嘉福汇报报告!S48/10000</f>
        <v>9.6598291996862207E-2</v>
      </c>
      <c r="BE25" s="906">
        <v>2.2999999999999998</v>
      </c>
      <c r="BF25" s="907" t="s">
        <v>62</v>
      </c>
      <c r="BG25" s="1560" t="s">
        <v>63</v>
      </c>
      <c r="BH25" s="1575">
        <f>永华工业园!C119/10000</f>
        <v>0.08</v>
      </c>
      <c r="BI25" s="1576"/>
      <c r="BJ25" s="1577">
        <f>永华工业园!K119/10000</f>
        <v>0</v>
      </c>
      <c r="BK25" s="1537">
        <v>0</v>
      </c>
      <c r="BL25" s="1530">
        <f t="shared" si="0"/>
        <v>0</v>
      </c>
      <c r="BM25" s="1593" t="s">
        <v>64</v>
      </c>
      <c r="BN25" s="1625"/>
      <c r="BO25" s="881"/>
      <c r="BP25" s="881"/>
      <c r="BQ25" s="881"/>
      <c r="BR25" s="881"/>
      <c r="BS25" s="881"/>
      <c r="BT25" s="881"/>
      <c r="BU25" s="881"/>
      <c r="BV25" s="881"/>
      <c r="BW25" s="881"/>
      <c r="BX25" s="881"/>
      <c r="BY25" s="881"/>
      <c r="BZ25" s="881"/>
      <c r="CA25" s="881"/>
    </row>
    <row r="26" spans="2:79" s="414" customFormat="1" ht="17.45" customHeight="1" thickBot="1" x14ac:dyDescent="0.2">
      <c r="B26" s="415"/>
      <c r="D26" s="415"/>
      <c r="E26" s="927"/>
      <c r="G26" s="927"/>
      <c r="I26" s="927"/>
      <c r="Y26" s="920"/>
      <c r="Z26" s="921" t="s">
        <v>90</v>
      </c>
      <c r="AA26" s="922"/>
      <c r="AB26" s="923">
        <f>AB25/AB14</f>
        <v>2.2103999999999999</v>
      </c>
      <c r="AC26" s="924"/>
      <c r="AD26" s="978">
        <f>AD25/AD14</f>
        <v>1.1449818436972392</v>
      </c>
      <c r="AE26" s="979"/>
      <c r="AF26" s="978">
        <f>AF25/AF14</f>
        <v>1.4877928887432412</v>
      </c>
      <c r="AG26" s="1002"/>
      <c r="AH26" s="1003"/>
      <c r="AI26" s="1004"/>
      <c r="AL26" s="488">
        <v>2.5</v>
      </c>
      <c r="AM26" s="512" t="s">
        <v>99</v>
      </c>
      <c r="AN26" s="1110">
        <f>海景嘉福汇报报告!D52</f>
        <v>8.0048082274113502E-2</v>
      </c>
      <c r="AO26" s="1145">
        <f>海景嘉福汇报报告!E52/10000</f>
        <v>0.71919999999999995</v>
      </c>
      <c r="AP26" s="1146">
        <f>海景嘉福汇报报告!F52/10000</f>
        <v>9.39974179463446E-2</v>
      </c>
      <c r="AQ26" s="1147">
        <f>海景嘉福汇报报告!G52/10000</f>
        <v>1.4162689000000001E-3</v>
      </c>
      <c r="AR26" s="1146">
        <f>海景嘉福汇报报告!H52/10000</f>
        <v>1.8510236334498E-4</v>
      </c>
      <c r="AS26" s="1149">
        <f>海景嘉福汇报报告!I52</f>
        <v>8.1137278998952497E-3</v>
      </c>
      <c r="AT26" s="1145">
        <f>海景嘉福汇报报告!J52/10000</f>
        <v>4.7149684199081297E-2</v>
      </c>
      <c r="AU26" s="1146">
        <f>海景嘉福汇报报告!K52/10000</f>
        <v>6.1623311619844303E-3</v>
      </c>
      <c r="AV26" s="1147"/>
      <c r="AW26" s="1313">
        <f>海景嘉福汇报报告!M52/10000</f>
        <v>2.2653831000000002E-3</v>
      </c>
      <c r="AX26" s="1313"/>
      <c r="AY26" s="1313">
        <f>海景嘉福汇报报告!O52/10000</f>
        <v>2.9607920197342299E-4</v>
      </c>
      <c r="AZ26" s="1314"/>
      <c r="BA26" s="1197">
        <f>海景嘉福汇报报告!Q52</f>
        <v>8.1137278998952497E-3</v>
      </c>
      <c r="BB26" s="1145">
        <f>海景嘉福汇报报告!R52/10000</f>
        <v>4.7149684199081297E-2</v>
      </c>
      <c r="BC26" s="1146">
        <f>海景嘉福汇报报告!S52/10000</f>
        <v>6.1623311619844303E-3</v>
      </c>
      <c r="BE26" s="906">
        <v>2.4</v>
      </c>
      <c r="BF26" s="907" t="s">
        <v>66</v>
      </c>
      <c r="BG26" s="1560" t="s">
        <v>67</v>
      </c>
      <c r="BH26" s="1575">
        <f>永华工业园!C120/10000</f>
        <v>0.95027499999999998</v>
      </c>
      <c r="BI26" s="1578"/>
      <c r="BJ26" s="1577">
        <f>永华工业园!K120/10000</f>
        <v>0</v>
      </c>
      <c r="BK26" s="1537">
        <v>0</v>
      </c>
      <c r="BL26" s="1530">
        <f t="shared" si="0"/>
        <v>0</v>
      </c>
      <c r="BM26" s="1593" t="s">
        <v>68</v>
      </c>
      <c r="BN26" s="1625"/>
    </row>
    <row r="27" spans="2:79" s="414" customFormat="1" ht="17.45" customHeight="1" thickBot="1" x14ac:dyDescent="0.2">
      <c r="B27" s="415"/>
      <c r="D27" s="415"/>
      <c r="E27" s="927"/>
      <c r="G27" s="927"/>
      <c r="I27" s="927"/>
      <c r="Y27" s="1321" t="s">
        <v>102</v>
      </c>
      <c r="Z27" s="1322"/>
      <c r="AA27" s="1322"/>
      <c r="AB27" s="1322"/>
      <c r="AC27" s="1322"/>
      <c r="AD27" s="1322"/>
      <c r="AE27" s="1323"/>
      <c r="AF27" s="1322"/>
      <c r="AG27" s="1322"/>
      <c r="AH27" s="1322"/>
      <c r="AI27" s="1324"/>
      <c r="AL27" s="467">
        <v>2.6</v>
      </c>
      <c r="AM27" s="468" t="s">
        <v>101</v>
      </c>
      <c r="AN27" s="1109">
        <f>海景嘉福汇报报告!D56</f>
        <v>0</v>
      </c>
      <c r="AO27" s="1137"/>
      <c r="AP27" s="1138"/>
      <c r="AQ27" s="1150">
        <f>海景嘉福汇报报告!G56/10000</f>
        <v>-1.656014E-4</v>
      </c>
      <c r="AR27" s="1151">
        <f>海景嘉福汇报报告!H56/10000</f>
        <v>-2.1643637386401298E-5</v>
      </c>
      <c r="AS27" s="1149">
        <f>海景嘉福汇报报告!I56</f>
        <v>0</v>
      </c>
      <c r="AT27" s="1152">
        <f>海景嘉福汇报报告!J56/10000</f>
        <v>0</v>
      </c>
      <c r="AU27" s="1151">
        <f>海景嘉福汇报报告!K56/10000</f>
        <v>0</v>
      </c>
      <c r="AV27" s="1150"/>
      <c r="AW27" s="1319">
        <f>海景嘉福汇报报告!M56/10000</f>
        <v>-2.1332E-4</v>
      </c>
      <c r="AX27" s="1319"/>
      <c r="AY27" s="1319">
        <f>海景嘉福汇报报告!O56/10000</f>
        <v>-2.7880324244040899E-5</v>
      </c>
      <c r="AZ27" s="1320"/>
      <c r="BA27" s="1197">
        <f>海景嘉福汇报报告!Q56</f>
        <v>0</v>
      </c>
      <c r="BB27" s="1152">
        <f>海景嘉福汇报报告!R56/10000</f>
        <v>0</v>
      </c>
      <c r="BC27" s="1151">
        <f>海景嘉福汇报报告!S56/10000</f>
        <v>0</v>
      </c>
      <c r="BE27" s="906">
        <v>2.5</v>
      </c>
      <c r="BF27" s="907" t="s">
        <v>72</v>
      </c>
      <c r="BG27" s="1562"/>
      <c r="BH27" s="1575"/>
      <c r="BI27" s="1579"/>
      <c r="BJ27" s="1577">
        <f>永华工业园!K121/10000</f>
        <v>-0.1</v>
      </c>
      <c r="BK27" s="1537">
        <f>永华工业园!O121/10000</f>
        <v>-0.1</v>
      </c>
      <c r="BL27" s="1530">
        <f>BJ27-BK27</f>
        <v>0</v>
      </c>
      <c r="BM27" s="1593" t="s">
        <v>73</v>
      </c>
      <c r="BN27" s="1625"/>
    </row>
    <row r="28" spans="2:79" s="414" customFormat="1" ht="17.45" customHeight="1" thickBot="1" x14ac:dyDescent="0.2">
      <c r="B28" s="415"/>
      <c r="D28" s="415"/>
      <c r="E28" s="888"/>
      <c r="AE28" s="956"/>
      <c r="AL28" s="515" t="s">
        <v>83</v>
      </c>
      <c r="AM28" s="516" t="s">
        <v>103</v>
      </c>
      <c r="AN28" s="1111"/>
      <c r="AO28" s="1153">
        <f>海景嘉福汇报报告!E57/10000</f>
        <v>0.62490000000000001</v>
      </c>
      <c r="AP28" s="1154">
        <f>海景嘉福汇报报告!F57/10000</f>
        <v>8.1672673073791391E-2</v>
      </c>
      <c r="AQ28" s="1155">
        <f>海景嘉福汇报报告!G57/10000</f>
        <v>-4.3443368874999999</v>
      </c>
      <c r="AR28" s="1154">
        <f>海景嘉福汇报报告!H57/10000</f>
        <v>-0.56779261695503302</v>
      </c>
      <c r="AS28" s="1155"/>
      <c r="AT28" s="1153">
        <f>海景嘉福汇报报告!J57/10000</f>
        <v>-0.82693373619908195</v>
      </c>
      <c r="AU28" s="1154">
        <f>海景嘉福汇报报告!K57/10000</f>
        <v>-0.10807791437074199</v>
      </c>
      <c r="AV28" s="1155"/>
      <c r="AW28" s="1325">
        <f>海景嘉福汇报报告!M57/10000</f>
        <v>-4.5172190006999999</v>
      </c>
      <c r="AX28" s="1325"/>
      <c r="AY28" s="1325">
        <f>海景嘉福汇报报告!O57/10000</f>
        <v>-0.590387823086717</v>
      </c>
      <c r="AZ28" s="1326"/>
      <c r="BA28" s="1155"/>
      <c r="BB28" s="1153">
        <f>海景嘉福汇报报告!R57/10000</f>
        <v>-0.82693373619908195</v>
      </c>
      <c r="BC28" s="1154">
        <f>海景嘉福汇报报告!S57/10000</f>
        <v>-0.10807791437074199</v>
      </c>
      <c r="BE28" s="906">
        <v>2.6</v>
      </c>
      <c r="BF28" s="907" t="s">
        <v>76</v>
      </c>
      <c r="BG28" s="1562"/>
      <c r="BH28" s="1575">
        <f>BH21</f>
        <v>1</v>
      </c>
      <c r="BI28" s="1579"/>
      <c r="BJ28" s="1577">
        <f>永华工业园!K131/10000</f>
        <v>0.61599999999999999</v>
      </c>
      <c r="BK28" s="1537">
        <f>永华工业园!O131/10000</f>
        <v>0.61599999999999999</v>
      </c>
      <c r="BL28" s="1530">
        <f t="shared" si="0"/>
        <v>0</v>
      </c>
      <c r="BM28" s="1593" t="s">
        <v>77</v>
      </c>
      <c r="BN28" s="1625"/>
    </row>
    <row r="29" spans="2:79" s="414" customFormat="1" ht="17.45" customHeight="1" thickBot="1" x14ac:dyDescent="0.2">
      <c r="B29" s="415"/>
      <c r="D29" s="415"/>
      <c r="E29" s="888"/>
      <c r="AE29" s="956"/>
      <c r="AL29" s="525" t="s">
        <v>105</v>
      </c>
      <c r="AM29" s="526" t="s">
        <v>106</v>
      </c>
      <c r="AN29" s="1112"/>
      <c r="AO29" s="1157">
        <f>海景嘉福汇报报告!E59/10000</f>
        <v>0</v>
      </c>
      <c r="AP29" s="1158">
        <f>海景嘉福汇报报告!F59/10000</f>
        <v>0</v>
      </c>
      <c r="AQ29" s="1159">
        <f>海景嘉福汇报报告!G59/10000</f>
        <v>4.2386085056999994</v>
      </c>
      <c r="AR29" s="1158">
        <f>海景嘉福汇报报告!H59/10000</f>
        <v>0</v>
      </c>
      <c r="AS29" s="1159"/>
      <c r="AT29" s="1157">
        <f>海景嘉福汇报报告!J59/10000</f>
        <v>0.82693373619908195</v>
      </c>
      <c r="AU29" s="1158">
        <f>海景嘉福汇报报告!K59/10000</f>
        <v>0</v>
      </c>
      <c r="AV29" s="1159"/>
      <c r="AW29" s="1327">
        <f>海景嘉福汇报报告!M59/10000</f>
        <v>4.5347100344999998</v>
      </c>
      <c r="AX29" s="1327"/>
      <c r="AY29" s="1327">
        <f>海景嘉福汇报报告!O59/10000</f>
        <v>0</v>
      </c>
      <c r="AZ29" s="1328"/>
      <c r="BA29" s="1159"/>
      <c r="BB29" s="1157">
        <f>海景嘉福汇报报告!R59/10000</f>
        <v>0.82693373619908195</v>
      </c>
      <c r="BC29" s="1158">
        <f>海景嘉福汇报报告!S59/10000</f>
        <v>0</v>
      </c>
      <c r="BE29" s="901" t="s">
        <v>83</v>
      </c>
      <c r="BF29" s="902" t="s">
        <v>84</v>
      </c>
      <c r="BG29" s="1549"/>
      <c r="BH29" s="1566">
        <f>BH22-BH21</f>
        <v>2.6170750000000003</v>
      </c>
      <c r="BI29" s="1580"/>
      <c r="BJ29" s="1581">
        <f>BJ22-BJ21</f>
        <v>-7.1575000000000055E-2</v>
      </c>
      <c r="BK29" s="1538">
        <f>BK22-BK21</f>
        <v>-7.1575000000000055E-2</v>
      </c>
      <c r="BL29" s="1529">
        <f>BL22-BL21</f>
        <v>0</v>
      </c>
      <c r="BM29" s="1595"/>
      <c r="BN29" s="1625"/>
    </row>
    <row r="30" spans="2:79" s="414" customFormat="1" ht="17.45" customHeight="1" thickBot="1" x14ac:dyDescent="0.2">
      <c r="B30" s="415"/>
      <c r="D30" s="415"/>
      <c r="E30" s="888"/>
      <c r="AE30" s="956"/>
      <c r="AL30" s="467">
        <v>4.0999999999999996</v>
      </c>
      <c r="AM30" s="468" t="s">
        <v>107</v>
      </c>
      <c r="AN30" s="1113"/>
      <c r="AO30" s="1160"/>
      <c r="AP30" s="1161">
        <f>海景嘉福汇报报告!F60/10000</f>
        <v>0</v>
      </c>
      <c r="AQ30" s="1162">
        <f>海景嘉福汇报报告!G60/10000</f>
        <v>0.19860850569999999</v>
      </c>
      <c r="AR30" s="1161">
        <f>海景嘉福汇报报告!H60/10000</f>
        <v>0</v>
      </c>
      <c r="AS30" s="1162"/>
      <c r="AT30" s="1163">
        <f>海景嘉福汇报报告!J60/10000</f>
        <v>0</v>
      </c>
      <c r="AU30" s="1161">
        <f>海景嘉福汇报报告!K60/10000</f>
        <v>0</v>
      </c>
      <c r="AV30" s="1162"/>
      <c r="AW30" s="1329">
        <f>海景嘉福汇报报告!M60/10000</f>
        <v>0.67488429650000004</v>
      </c>
      <c r="AX30" s="1329"/>
      <c r="AY30" s="1329">
        <f>海景嘉福汇报报告!O60/10000</f>
        <v>0</v>
      </c>
      <c r="AZ30" s="1330"/>
      <c r="BA30" s="1162"/>
      <c r="BB30" s="1163">
        <f>海景嘉福汇报报告!R60/10000</f>
        <v>0</v>
      </c>
      <c r="BC30" s="1161">
        <f>海景嘉福汇报报告!S60/10000</f>
        <v>0</v>
      </c>
      <c r="BE30" s="1526" t="s">
        <v>1</v>
      </c>
      <c r="BF30" s="1527"/>
      <c r="BG30" s="1527"/>
      <c r="BH30" s="1527"/>
      <c r="BI30" s="1527"/>
      <c r="BJ30" s="1527"/>
      <c r="BK30" s="1527"/>
      <c r="BL30" s="1527"/>
      <c r="BM30" s="1527"/>
      <c r="BN30" s="1528"/>
    </row>
    <row r="31" spans="2:79" s="414" customFormat="1" ht="17.45" customHeight="1" thickBot="1" x14ac:dyDescent="0.2">
      <c r="B31" s="415"/>
      <c r="D31" s="415"/>
      <c r="E31" s="888"/>
      <c r="AE31" s="956"/>
      <c r="AL31" s="467">
        <v>4.2</v>
      </c>
      <c r="AM31" s="468" t="s">
        <v>108</v>
      </c>
      <c r="AN31" s="1113"/>
      <c r="AO31" s="1160"/>
      <c r="AP31" s="1161">
        <f>海景嘉福汇报报告!F63/10000</f>
        <v>0</v>
      </c>
      <c r="AQ31" s="1162">
        <f>海景嘉福汇报报告!G63/10000</f>
        <v>0.6</v>
      </c>
      <c r="AR31" s="1161">
        <f>海景嘉福汇报报告!H63/10000</f>
        <v>0</v>
      </c>
      <c r="AS31" s="1162"/>
      <c r="AT31" s="1163">
        <f>海景嘉福汇报报告!J63/10000</f>
        <v>0.82693373619908195</v>
      </c>
      <c r="AU31" s="1161">
        <f>海景嘉福汇报报告!K63/10000</f>
        <v>0</v>
      </c>
      <c r="AV31" s="1162"/>
      <c r="AW31" s="1329">
        <f>海景嘉福汇报报告!M63/10000</f>
        <v>0.59982573800000005</v>
      </c>
      <c r="AX31" s="1329"/>
      <c r="AY31" s="1329">
        <f>海景嘉福汇报报告!O63/10000</f>
        <v>0</v>
      </c>
      <c r="AZ31" s="1330"/>
      <c r="BA31" s="1162"/>
      <c r="BB31" s="1163">
        <f>海景嘉福汇报报告!R63/10000</f>
        <v>0.82693373619908195</v>
      </c>
      <c r="BC31" s="1161">
        <f>海景嘉福汇报报告!S63/10000</f>
        <v>0</v>
      </c>
      <c r="BE31" s="1274" t="s">
        <v>8</v>
      </c>
      <c r="BF31" s="1352" t="s">
        <v>9</v>
      </c>
      <c r="BG31" s="1272" t="s">
        <v>10</v>
      </c>
      <c r="BH31" s="1273"/>
      <c r="BI31" s="1374" t="s">
        <v>14</v>
      </c>
      <c r="BJ31" s="1276"/>
      <c r="BK31" s="1374" t="s">
        <v>13</v>
      </c>
      <c r="BL31" s="1275"/>
      <c r="BM31" s="1275"/>
      <c r="BN31" s="1582" t="s">
        <v>647</v>
      </c>
    </row>
    <row r="32" spans="2:79" s="414" customFormat="1" ht="17.45" customHeight="1" thickBot="1" x14ac:dyDescent="0.2">
      <c r="B32" s="415"/>
      <c r="D32" s="415"/>
      <c r="E32" s="888"/>
      <c r="AE32" s="956"/>
      <c r="AL32" s="467">
        <v>4.3</v>
      </c>
      <c r="AM32" s="468" t="s">
        <v>109</v>
      </c>
      <c r="AN32" s="1113"/>
      <c r="AO32" s="1160"/>
      <c r="AP32" s="1161">
        <f>海景嘉福汇报报告!F66/10000</f>
        <v>0</v>
      </c>
      <c r="AQ32" s="1162">
        <f>海景嘉福汇报报告!G66/10000</f>
        <v>3.44</v>
      </c>
      <c r="AR32" s="1161">
        <f>海景嘉福汇报报告!H66/10000</f>
        <v>0</v>
      </c>
      <c r="AS32" s="1162"/>
      <c r="AT32" s="1163">
        <f>海景嘉福汇报报告!J66/10000</f>
        <v>0</v>
      </c>
      <c r="AU32" s="1161">
        <f>海景嘉福汇报报告!K66/10000</f>
        <v>0</v>
      </c>
      <c r="AV32" s="1162"/>
      <c r="AW32" s="1329">
        <f>海景嘉福汇报报告!M66/10000</f>
        <v>3.26</v>
      </c>
      <c r="AX32" s="1329"/>
      <c r="AY32" s="1329">
        <f>海景嘉福汇报报告!O66/10000</f>
        <v>0</v>
      </c>
      <c r="AZ32" s="1330"/>
      <c r="BA32" s="1162"/>
      <c r="BB32" s="1163">
        <f>海景嘉福汇报报告!R66/10000</f>
        <v>0</v>
      </c>
      <c r="BC32" s="1161">
        <f>海景嘉福汇报报告!S66/10000</f>
        <v>0</v>
      </c>
      <c r="BE32" s="1351"/>
      <c r="BF32" s="1353"/>
      <c r="BG32" s="891" t="s">
        <v>21</v>
      </c>
      <c r="BH32" s="892" t="s">
        <v>22</v>
      </c>
      <c r="BI32" s="1532" t="s">
        <v>646</v>
      </c>
      <c r="BJ32" s="1533"/>
      <c r="BK32" s="1539" t="s">
        <v>30</v>
      </c>
      <c r="BL32" s="937" t="s">
        <v>31</v>
      </c>
      <c r="BM32" s="1587" t="s">
        <v>23</v>
      </c>
      <c r="BN32" s="1583"/>
    </row>
    <row r="33" spans="2:66" s="414" customFormat="1" ht="17.45" customHeight="1" thickBot="1" x14ac:dyDescent="0.2">
      <c r="B33" s="415"/>
      <c r="D33" s="415"/>
      <c r="E33" s="888"/>
      <c r="AE33" s="956"/>
      <c r="AL33" s="515" t="s">
        <v>112</v>
      </c>
      <c r="AM33" s="516" t="s">
        <v>113</v>
      </c>
      <c r="AN33" s="1111"/>
      <c r="AO33" s="1153">
        <f>海景嘉福汇报报告!E69/10000</f>
        <v>0.62490000000000001</v>
      </c>
      <c r="AP33" s="1164">
        <f>海景嘉福汇报报告!F69/10000</f>
        <v>8.1672673073791391E-2</v>
      </c>
      <c r="AQ33" s="1165">
        <f>海景嘉福汇报报告!G69/10000</f>
        <v>-0.10572838180000001</v>
      </c>
      <c r="AR33" s="1164">
        <f>海景嘉福汇报报告!H69/10000</f>
        <v>-0.56779261695503302</v>
      </c>
      <c r="AS33" s="1165"/>
      <c r="AT33" s="1166">
        <f>海景嘉福汇报报告!J69/10000</f>
        <v>0</v>
      </c>
      <c r="AU33" s="1164">
        <f>海景嘉福汇报报告!K69/10000</f>
        <v>-0.10807791437074199</v>
      </c>
      <c r="AV33" s="1165"/>
      <c r="AW33" s="1331">
        <f>海景嘉福汇报报告!M69/10000</f>
        <v>1.7491033799998702E-2</v>
      </c>
      <c r="AX33" s="1331"/>
      <c r="AY33" s="1331">
        <f>海景嘉福汇报报告!O69/10000</f>
        <v>-0.590387823086717</v>
      </c>
      <c r="AZ33" s="1332"/>
      <c r="BA33" s="1165"/>
      <c r="BB33" s="1166">
        <f>海景嘉福汇报报告!R69/10000</f>
        <v>0</v>
      </c>
      <c r="BC33" s="1164">
        <f>海景嘉福汇报报告!S69/10000</f>
        <v>-0.10807791437074199</v>
      </c>
      <c r="BE33" s="893"/>
      <c r="BF33" s="894" t="s">
        <v>32</v>
      </c>
      <c r="BG33" s="895"/>
      <c r="BH33" s="896" t="s">
        <v>33</v>
      </c>
      <c r="BI33" s="1534"/>
      <c r="BJ33" s="1531"/>
      <c r="BK33" s="1540"/>
      <c r="BL33" s="939"/>
      <c r="BM33" s="1596"/>
      <c r="BN33" s="1624">
        <f>BJ40/BJ34</f>
        <v>0</v>
      </c>
    </row>
    <row r="34" spans="2:66" s="414" customFormat="1" ht="17.45" customHeight="1" thickBot="1" x14ac:dyDescent="0.2">
      <c r="B34" s="415"/>
      <c r="D34" s="415"/>
      <c r="E34" s="888"/>
      <c r="AE34" s="956"/>
      <c r="AL34" s="515"/>
      <c r="AM34" s="516" t="s">
        <v>114</v>
      </c>
      <c r="AN34" s="1111"/>
      <c r="AO34" s="1156">
        <f>海景嘉福汇报报告!E70</f>
        <v>6.9552345123878603E-2</v>
      </c>
      <c r="AP34" s="1167">
        <f>海景嘉福汇报报告!F70</f>
        <v>9.0902959590623209E-3</v>
      </c>
      <c r="AQ34" s="1168">
        <f>海景嘉福汇报报告!G70</f>
        <v>-1.17677338779689E-2</v>
      </c>
      <c r="AR34" s="1167">
        <f>海景嘉福汇报报告!H70</f>
        <v>-6.3196204277879101E-2</v>
      </c>
      <c r="AS34" s="1168"/>
      <c r="AT34" s="1169">
        <f>海景嘉福汇报报告!J70</f>
        <v>0</v>
      </c>
      <c r="AU34" s="1167">
        <f>海景嘉福汇报报告!K70</f>
        <v>-1.2029240519415599E-2</v>
      </c>
      <c r="AV34" s="1168"/>
      <c r="AW34" s="1333">
        <f>海景嘉福汇报报告!M70</f>
        <v>1.9467793557864199E-3</v>
      </c>
      <c r="AX34" s="1333"/>
      <c r="AY34" s="1333">
        <f>海景嘉福汇报报告!O70</f>
        <v>-6.5711085978977096E-2</v>
      </c>
      <c r="AZ34" s="1334"/>
      <c r="BA34" s="1168"/>
      <c r="BB34" s="1169">
        <f>海景嘉福汇报报告!R70</f>
        <v>0</v>
      </c>
      <c r="BC34" s="1167">
        <f>海景嘉福汇报报告!S70</f>
        <v>-1.2029240519415599E-2</v>
      </c>
      <c r="BE34" s="893" t="s">
        <v>40</v>
      </c>
      <c r="BF34" s="894" t="s">
        <v>41</v>
      </c>
      <c r="BG34" s="1543"/>
      <c r="BH34" s="1544">
        <f>(南站!C126+南站!F126)/10000</f>
        <v>1</v>
      </c>
      <c r="BI34" s="1545"/>
      <c r="BJ34" s="1546">
        <f>南站!J126/10000</f>
        <v>1</v>
      </c>
      <c r="BK34" s="1547">
        <f>南站!J126/10000</f>
        <v>1</v>
      </c>
      <c r="BL34" s="1548">
        <f>BJ34-BK34</f>
        <v>0</v>
      </c>
      <c r="BM34" s="1597" t="s">
        <v>42</v>
      </c>
      <c r="BN34" s="1625"/>
    </row>
    <row r="35" spans="2:66" s="414" customFormat="1" ht="17.45" customHeight="1" thickBot="1" x14ac:dyDescent="0.2">
      <c r="B35" s="415"/>
      <c r="D35" s="415"/>
      <c r="E35" s="888"/>
      <c r="Y35" s="980"/>
      <c r="AE35" s="956"/>
      <c r="AL35" s="525" t="s">
        <v>115</v>
      </c>
      <c r="AM35" s="526" t="s">
        <v>116</v>
      </c>
      <c r="AN35" s="1112"/>
      <c r="AO35" s="1157">
        <f>海景嘉福汇报报告!E71/10000</f>
        <v>0.62490000000000001</v>
      </c>
      <c r="AP35" s="1164">
        <f>海景嘉福汇报报告!F71/10000</f>
        <v>8.1672673073791391E-2</v>
      </c>
      <c r="AQ35" s="1165">
        <f>海景嘉福汇报报告!G71/10000</f>
        <v>-0.10572838180000001</v>
      </c>
      <c r="AR35" s="1164">
        <f>海景嘉福汇报报告!H71/10000</f>
        <v>-0.56779261695503302</v>
      </c>
      <c r="AS35" s="1165">
        <f>海景嘉福汇报报告!I71/10000</f>
        <v>0</v>
      </c>
      <c r="AT35" s="1166">
        <f>海景嘉福汇报报告!J71/10000</f>
        <v>0</v>
      </c>
      <c r="AU35" s="1164">
        <f>海景嘉福汇报报告!K71/10000</f>
        <v>-0.10807791437074199</v>
      </c>
      <c r="AV35" s="1165"/>
      <c r="AW35" s="1331">
        <f>海景嘉福汇报报告!M71/10000</f>
        <v>1.7491033799998702E-2</v>
      </c>
      <c r="AX35" s="1331"/>
      <c r="AY35" s="1331">
        <f>海景嘉福汇报报告!O71/10000</f>
        <v>-0.590387823086717</v>
      </c>
      <c r="AZ35" s="1332"/>
      <c r="BA35" s="1165">
        <f>海景嘉福汇报报告!Q71</f>
        <v>0</v>
      </c>
      <c r="BB35" s="1166">
        <f>海景嘉福汇报报告!R71/10000</f>
        <v>0</v>
      </c>
      <c r="BC35" s="1164">
        <f>海景嘉福汇报报告!S71/10000</f>
        <v>-0.10807791437074199</v>
      </c>
      <c r="BE35" s="901" t="s">
        <v>45</v>
      </c>
      <c r="BF35" s="902" t="s">
        <v>46</v>
      </c>
      <c r="BG35" s="1549"/>
      <c r="BH35" s="1550">
        <f>SUM(BH36:BH39)</f>
        <v>6.0963399999999996</v>
      </c>
      <c r="BI35" s="1551"/>
      <c r="BJ35" s="1552">
        <f>SUM(BJ36:BJ39)</f>
        <v>1</v>
      </c>
      <c r="BK35" s="1553">
        <f>SUM(BK36:BK39)</f>
        <v>0</v>
      </c>
      <c r="BL35" s="1548">
        <f>BJ35-BK35</f>
        <v>1</v>
      </c>
      <c r="BM35" s="1598"/>
      <c r="BN35" s="1625"/>
    </row>
    <row r="36" spans="2:66" s="414" customFormat="1" ht="17.45" customHeight="1" thickBot="1" x14ac:dyDescent="0.2">
      <c r="B36" s="415"/>
      <c r="D36" s="415"/>
      <c r="E36" s="888"/>
      <c r="AE36" s="956"/>
      <c r="AL36" s="525" t="s">
        <v>117</v>
      </c>
      <c r="AM36" s="526" t="s">
        <v>118</v>
      </c>
      <c r="AN36" s="1112"/>
      <c r="AO36" s="1157">
        <f>海景嘉福汇报报告!E72/10000</f>
        <v>0</v>
      </c>
      <c r="AP36" s="1164">
        <f>海景嘉福汇报报告!F72/10000</f>
        <v>0</v>
      </c>
      <c r="AQ36" s="1165">
        <f>海景嘉福汇报报告!G72/10000</f>
        <v>-0.1703303884</v>
      </c>
      <c r="AR36" s="1164">
        <f>海景嘉福汇报报告!H72/10000</f>
        <v>0</v>
      </c>
      <c r="AS36" s="1165"/>
      <c r="AT36" s="1166">
        <f>海景嘉福汇报报告!J72/10000</f>
        <v>0</v>
      </c>
      <c r="AU36" s="1164">
        <f>海景嘉福汇报报告!K72/10000</f>
        <v>0</v>
      </c>
      <c r="AV36" s="1165"/>
      <c r="AW36" s="1331">
        <f>海景嘉福汇报报告!M72/10000</f>
        <v>-3.8212329700000103E-2</v>
      </c>
      <c r="AX36" s="1331"/>
      <c r="AY36" s="1331">
        <f>海景嘉福汇报报告!O72/10000</f>
        <v>0</v>
      </c>
      <c r="AZ36" s="1332"/>
      <c r="BA36" s="1165"/>
      <c r="BB36" s="1166">
        <f>海景嘉福汇报报告!R72/10000</f>
        <v>0</v>
      </c>
      <c r="BC36" s="1164">
        <f>海景嘉福汇报报告!S72/10000</f>
        <v>0</v>
      </c>
      <c r="BE36" s="906">
        <v>2.1</v>
      </c>
      <c r="BF36" s="907" t="s">
        <v>49</v>
      </c>
      <c r="BG36" s="1554" t="s">
        <v>50</v>
      </c>
      <c r="BH36" s="1555">
        <f>(南站!C117+南站!F117)/10000</f>
        <v>1.9471290000000001</v>
      </c>
      <c r="BI36" s="1556"/>
      <c r="BJ36" s="1557"/>
      <c r="BK36" s="1558">
        <v>0</v>
      </c>
      <c r="BL36" s="1559"/>
      <c r="BM36" s="1599"/>
      <c r="BN36" s="1625"/>
    </row>
    <row r="37" spans="2:66" s="414" customFormat="1" ht="17.45" customHeight="1" thickBot="1" x14ac:dyDescent="0.2">
      <c r="B37" s="415"/>
      <c r="D37" s="415"/>
      <c r="E37" s="888"/>
      <c r="AE37" s="956"/>
      <c r="AL37" s="525" t="s">
        <v>119</v>
      </c>
      <c r="AM37" s="526" t="s">
        <v>120</v>
      </c>
      <c r="AN37" s="1112"/>
      <c r="AO37" s="1157">
        <f>海景嘉福汇报报告!E77/10000</f>
        <v>0.62490000000000001</v>
      </c>
      <c r="AP37" s="1154"/>
      <c r="AQ37" s="1170">
        <f>海景嘉福汇报报告!G77/10000</f>
        <v>6.46020066000004E-2</v>
      </c>
      <c r="AR37" s="1158"/>
      <c r="AS37" s="1171"/>
      <c r="AT37" s="1157">
        <f>海景嘉福汇报报告!J77/10000</f>
        <v>0</v>
      </c>
      <c r="AU37" s="1172"/>
      <c r="AV37" s="1173"/>
      <c r="AW37" s="1335">
        <f>海景嘉福汇报报告!M77/10000</f>
        <v>5.5603363499998795E-2</v>
      </c>
      <c r="AX37" s="1335"/>
      <c r="AY37" s="1331"/>
      <c r="AZ37" s="1332"/>
      <c r="BA37" s="1173"/>
      <c r="BB37" s="1153"/>
      <c r="BC37" s="1154"/>
      <c r="BE37" s="906">
        <v>2.2000000000000002</v>
      </c>
      <c r="BF37" s="907" t="s">
        <v>56</v>
      </c>
      <c r="BG37" s="1560" t="s">
        <v>57</v>
      </c>
      <c r="BH37" s="1555">
        <f>(南站!C118+南站!F118)/10000</f>
        <v>0.64907099999999995</v>
      </c>
      <c r="BI37" s="1561"/>
      <c r="BJ37" s="1555"/>
      <c r="BK37" s="1558">
        <v>0</v>
      </c>
      <c r="BL37" s="1559"/>
      <c r="BM37" s="1599"/>
      <c r="BN37" s="1625"/>
    </row>
    <row r="38" spans="2:66" s="414" customFormat="1" ht="17.45" customHeight="1" thickBot="1" x14ac:dyDescent="0.2">
      <c r="B38" s="415"/>
      <c r="D38" s="415"/>
      <c r="E38" s="888"/>
      <c r="AE38" s="956"/>
      <c r="AL38" s="1336" t="s">
        <v>121</v>
      </c>
      <c r="AM38" s="1337"/>
      <c r="AN38" s="1102"/>
      <c r="AO38" s="1174"/>
      <c r="AP38" s="1175"/>
      <c r="AQ38" s="1176"/>
      <c r="AR38" s="1175"/>
      <c r="AS38" s="1177"/>
      <c r="AT38" s="1174"/>
      <c r="AU38" s="1175"/>
      <c r="AV38" s="1178"/>
      <c r="AW38" s="1198"/>
      <c r="AX38" s="1198"/>
      <c r="AY38" s="1198"/>
      <c r="AZ38" s="1199"/>
      <c r="BA38" s="1200"/>
      <c r="BB38" s="1201"/>
      <c r="BC38" s="1202"/>
      <c r="BE38" s="906">
        <v>2.4</v>
      </c>
      <c r="BF38" s="907" t="s">
        <v>66</v>
      </c>
      <c r="BG38" s="1560" t="s">
        <v>69</v>
      </c>
      <c r="BH38" s="1555">
        <f>(南站!C120+南站!F120)/10000</f>
        <v>2.50014</v>
      </c>
      <c r="BI38" s="1556"/>
      <c r="BJ38" s="1557"/>
      <c r="BK38" s="1558">
        <v>0</v>
      </c>
      <c r="BL38" s="1559"/>
      <c r="BM38" s="1599"/>
      <c r="BN38" s="1625"/>
    </row>
    <row r="39" spans="2:66" s="414" customFormat="1" ht="17.45" customHeight="1" thickBot="1" x14ac:dyDescent="0.2">
      <c r="B39" s="415"/>
      <c r="D39" s="415"/>
      <c r="E39" s="888"/>
      <c r="AE39" s="956"/>
      <c r="AL39" s="1338" t="s">
        <v>15</v>
      </c>
      <c r="AM39" s="1339"/>
      <c r="AN39" s="1114" t="s">
        <v>35</v>
      </c>
      <c r="AO39" s="1179" t="s">
        <v>122</v>
      </c>
      <c r="AP39" s="1180" t="s">
        <v>123</v>
      </c>
      <c r="AQ39" s="1181" t="s">
        <v>122</v>
      </c>
      <c r="AR39" s="1180" t="s">
        <v>123</v>
      </c>
      <c r="AS39" s="1182" t="s">
        <v>124</v>
      </c>
      <c r="AT39" s="1179" t="s">
        <v>122</v>
      </c>
      <c r="AU39" s="1180" t="s">
        <v>123</v>
      </c>
      <c r="AV39" s="1183" t="s">
        <v>124</v>
      </c>
      <c r="AW39" s="1203" t="s">
        <v>125</v>
      </c>
      <c r="AX39" s="1204" t="s">
        <v>126</v>
      </c>
      <c r="AY39" s="1203" t="s">
        <v>127</v>
      </c>
      <c r="AZ39" s="1205" t="s">
        <v>128</v>
      </c>
      <c r="BA39" s="1183" t="s">
        <v>124</v>
      </c>
      <c r="BB39" s="1206" t="s">
        <v>125</v>
      </c>
      <c r="BC39" s="1180" t="s">
        <v>129</v>
      </c>
      <c r="BE39" s="906">
        <v>2.6</v>
      </c>
      <c r="BF39" s="907" t="s">
        <v>76</v>
      </c>
      <c r="BG39" s="1562"/>
      <c r="BH39" s="1555">
        <f>BH34</f>
        <v>1</v>
      </c>
      <c r="BI39" s="1556"/>
      <c r="BJ39" s="1563">
        <f>BJ34</f>
        <v>1</v>
      </c>
      <c r="BK39" s="1564">
        <f>南站!J129/10000</f>
        <v>0</v>
      </c>
      <c r="BL39" s="1565">
        <f>BJ39-BK39</f>
        <v>1</v>
      </c>
      <c r="BM39" s="1599" t="s">
        <v>78</v>
      </c>
      <c r="BN39" s="1625"/>
    </row>
    <row r="40" spans="2:66" s="414" customFormat="1" ht="17.25" thickBot="1" x14ac:dyDescent="0.2">
      <c r="B40" s="415"/>
      <c r="D40" s="415"/>
      <c r="E40" s="888"/>
      <c r="AE40" s="956"/>
      <c r="AL40" s="658" t="s">
        <v>40</v>
      </c>
      <c r="AM40" s="659" t="s">
        <v>54</v>
      </c>
      <c r="AN40" s="1115"/>
      <c r="AO40" s="1184">
        <f>海景嘉福汇报报告!E80/10000</f>
        <v>8.9846000000000004</v>
      </c>
      <c r="AP40" s="1172">
        <f>海景嘉福汇报报告!F80/10000</f>
        <v>1.17426195951158</v>
      </c>
      <c r="AQ40" s="1185">
        <f>海景嘉福汇报报告!G80/10000</f>
        <v>0</v>
      </c>
      <c r="AR40" s="1172">
        <f>海景嘉福汇报报告!H80/10000</f>
        <v>0</v>
      </c>
      <c r="AS40" s="1185"/>
      <c r="AT40" s="1184">
        <f>海景嘉福汇报报告!J80/10000</f>
        <v>5.8110999999999997</v>
      </c>
      <c r="AU40" s="1172">
        <f>海景嘉福汇报报告!K80/10000</f>
        <v>0.75949443190767896</v>
      </c>
      <c r="AV40" s="1185"/>
      <c r="AW40" s="1184">
        <f>海景嘉福汇报报告!M80/10000</f>
        <v>1.35E-2</v>
      </c>
      <c r="AX40" s="1184">
        <f>海景嘉福汇报报告!N80/10000</f>
        <v>1.7644120443209899E-3</v>
      </c>
      <c r="AY40" s="1184">
        <f>海景嘉福汇报报告!O80/10000</f>
        <v>0</v>
      </c>
      <c r="AZ40" s="1172">
        <f>海景嘉福汇报报告!P80/10000</f>
        <v>0</v>
      </c>
      <c r="BA40" s="1185">
        <f>海景嘉福汇报报告!Q80/10000</f>
        <v>0</v>
      </c>
      <c r="BB40" s="1184">
        <f>海景嘉福汇报报告!R80/10000</f>
        <v>5.8110999999999997</v>
      </c>
      <c r="BC40" s="1172">
        <f>海景嘉福汇报报告!S80/10000</f>
        <v>0.75949443190767896</v>
      </c>
      <c r="BE40" s="901" t="s">
        <v>83</v>
      </c>
      <c r="BF40" s="902" t="s">
        <v>84</v>
      </c>
      <c r="BG40" s="1549"/>
      <c r="BH40" s="1566">
        <f>BH35-BH34</f>
        <v>5.0963399999999996</v>
      </c>
      <c r="BI40" s="1567"/>
      <c r="BJ40" s="1568">
        <f>BJ35-BJ34</f>
        <v>0</v>
      </c>
      <c r="BK40" s="1569">
        <f>BK35-BK34</f>
        <v>-1</v>
      </c>
      <c r="BL40" s="1570">
        <f>BL35-BL34</f>
        <v>1</v>
      </c>
      <c r="BM40" s="1600" t="s">
        <v>85</v>
      </c>
      <c r="BN40" s="1625"/>
    </row>
    <row r="41" spans="2:66" s="414" customFormat="1" ht="17.25" thickBot="1" x14ac:dyDescent="0.25">
      <c r="B41" s="415"/>
      <c r="D41" s="415"/>
      <c r="E41" s="888"/>
      <c r="AE41" s="956"/>
      <c r="AL41" s="467">
        <v>1</v>
      </c>
      <c r="AM41" s="468" t="s">
        <v>60</v>
      </c>
      <c r="AN41" s="1109" t="str">
        <f>海景嘉福汇报报告!D81</f>
        <v>住宅15000元/㎡</v>
      </c>
      <c r="AO41" s="1137">
        <f>海景嘉福汇报报告!E81/10000</f>
        <v>7.6173000000000002</v>
      </c>
      <c r="AP41" s="1138">
        <f>海景嘉福汇报报告!F81/10000</f>
        <v>0.99555969371898101</v>
      </c>
      <c r="AQ41" s="1139">
        <f>海景嘉福汇报报告!G81/10000</f>
        <v>0</v>
      </c>
      <c r="AR41" s="1138"/>
      <c r="AS41" s="1186" t="str">
        <f>海景嘉福汇报报告!I81</f>
        <v>按住宅均价8500元测算</v>
      </c>
      <c r="AT41" s="1137">
        <f>海景嘉福汇报报告!J81/10000</f>
        <v>4.2934999999999999</v>
      </c>
      <c r="AU41" s="1138">
        <f>海景嘉福汇报报告!K81/10000</f>
        <v>0.56114837868830703</v>
      </c>
      <c r="AV41" s="1187">
        <f>海景嘉福汇报报告!L81</f>
        <v>1</v>
      </c>
      <c r="AW41" s="1137">
        <f>海景嘉福汇报报告!M81/10000</f>
        <v>1.35E-2</v>
      </c>
      <c r="AX41" s="1137">
        <f>海景嘉福汇报报告!N81/10000</f>
        <v>1.7644120443209899E-3</v>
      </c>
      <c r="AY41" s="1307">
        <f>海景嘉福汇报报告!O81/10000</f>
        <v>0</v>
      </c>
      <c r="AZ41" s="1308"/>
      <c r="BA41" s="1207" t="str">
        <f>海景嘉福汇报报告!Q81</f>
        <v>按住宅均价8500元测算</v>
      </c>
      <c r="BB41" s="1137">
        <f>海景嘉福汇报报告!R81/10000</f>
        <v>4.2934999999999999</v>
      </c>
      <c r="BC41" s="1138">
        <f>海景嘉福汇报报告!S81/10000</f>
        <v>0.56114837868830703</v>
      </c>
      <c r="BE41" s="1526" t="s">
        <v>6</v>
      </c>
      <c r="BF41" s="1527"/>
      <c r="BG41" s="1527"/>
      <c r="BH41" s="1527"/>
      <c r="BI41" s="1527"/>
      <c r="BJ41" s="1527"/>
      <c r="BK41" s="1527"/>
      <c r="BL41" s="1527"/>
      <c r="BM41" s="1527"/>
      <c r="BN41" s="1528"/>
    </row>
    <row r="42" spans="2:66" s="414" customFormat="1" ht="17.25" thickBot="1" x14ac:dyDescent="0.25">
      <c r="B42" s="415"/>
      <c r="D42" s="415"/>
      <c r="E42" s="888"/>
      <c r="AE42" s="956"/>
      <c r="AL42" s="467">
        <v>2</v>
      </c>
      <c r="AM42" s="468" t="s">
        <v>65</v>
      </c>
      <c r="AN42" s="1109" t="str">
        <f>海景嘉福汇报报告!D82</f>
        <v>商铺30000元/㎡</v>
      </c>
      <c r="AO42" s="1137">
        <f>海景嘉福汇报报告!E82/10000</f>
        <v>0.91210000000000002</v>
      </c>
      <c r="AP42" s="1138">
        <f>海景嘉福汇报报告!F82/10000</f>
        <v>0.11920890560186399</v>
      </c>
      <c r="AQ42" s="1139">
        <f>海景嘉福汇报报告!G82/10000</f>
        <v>0</v>
      </c>
      <c r="AR42" s="1138"/>
      <c r="AS42" s="1186" t="str">
        <f>海景嘉福汇报报告!I82</f>
        <v>按商铺均价3万元测算</v>
      </c>
      <c r="AT42" s="1137">
        <f>海景嘉福汇报报告!J82/10000</f>
        <v>0.85760000000000003</v>
      </c>
      <c r="AU42" s="1138">
        <f>海景嘉福汇报报告!K82/10000</f>
        <v>0.11208590883034601</v>
      </c>
      <c r="AV42" s="1139"/>
      <c r="AW42" s="1137">
        <f>海景嘉福汇报报告!M82/10000</f>
        <v>0</v>
      </c>
      <c r="AX42" s="1137">
        <f>海景嘉福汇报报告!N82/10000</f>
        <v>0</v>
      </c>
      <c r="AY42" s="1137">
        <f>海景嘉福汇报报告!O82/10000</f>
        <v>0</v>
      </c>
      <c r="AZ42" s="1138">
        <f>海景嘉福汇报报告!P82/10000</f>
        <v>0</v>
      </c>
      <c r="BA42" s="1207" t="str">
        <f>海景嘉福汇报报告!Q82</f>
        <v>按商铺均价3万元测算</v>
      </c>
      <c r="BB42" s="1137">
        <f>海景嘉福汇报报告!R82/10000</f>
        <v>0.85760000000000003</v>
      </c>
      <c r="BC42" s="1138">
        <f>海景嘉福汇报报告!S82/10000</f>
        <v>0.11208590883034601</v>
      </c>
      <c r="BE42" s="1274" t="s">
        <v>8</v>
      </c>
      <c r="BF42" s="1352" t="s">
        <v>9</v>
      </c>
      <c r="BG42" s="1272" t="s">
        <v>10</v>
      </c>
      <c r="BH42" s="1273"/>
      <c r="BI42" s="1289" t="s">
        <v>643</v>
      </c>
      <c r="BJ42" s="1273"/>
      <c r="BK42" s="1272" t="s">
        <v>13</v>
      </c>
      <c r="BL42" s="1275"/>
      <c r="BM42" s="1601"/>
      <c r="BN42" s="1584" t="s">
        <v>647</v>
      </c>
    </row>
    <row r="43" spans="2:66" s="414" customFormat="1" ht="17.25" thickBot="1" x14ac:dyDescent="0.25">
      <c r="B43" s="415"/>
      <c r="D43" s="415"/>
      <c r="E43" s="888"/>
      <c r="AE43" s="956"/>
      <c r="AL43" s="467">
        <v>3</v>
      </c>
      <c r="AM43" s="468" t="s">
        <v>71</v>
      </c>
      <c r="AN43" s="1109" t="str">
        <f>海景嘉福汇报报告!D83</f>
        <v>车位8万元/个</v>
      </c>
      <c r="AO43" s="1137">
        <f>海景嘉福汇报报告!E83/10000</f>
        <v>0.45519999999999999</v>
      </c>
      <c r="AP43" s="1138">
        <f>海景嘉福汇报报告!F83/10000</f>
        <v>5.9493360190734201E-2</v>
      </c>
      <c r="AQ43" s="1139">
        <f>海景嘉福汇报报告!G83/10000</f>
        <v>0</v>
      </c>
      <c r="AR43" s="1138"/>
      <c r="AS43" s="1186" t="str">
        <f>海景嘉福汇报报告!I83</f>
        <v>按车位12万元/个测算</v>
      </c>
      <c r="AT43" s="1137">
        <f>海景嘉福汇报报告!J83/10000</f>
        <v>0.65999999999999903</v>
      </c>
      <c r="AU43" s="1138">
        <f>海景嘉福汇报报告!K83/10000</f>
        <v>8.6260144389025795E-2</v>
      </c>
      <c r="AV43" s="1139"/>
      <c r="AW43" s="1137">
        <f>海景嘉福汇报报告!M83/10000</f>
        <v>0</v>
      </c>
      <c r="AX43" s="1137">
        <f>海景嘉福汇报报告!N83/10000</f>
        <v>0</v>
      </c>
      <c r="AY43" s="1137">
        <f>海景嘉福汇报报告!O83/10000</f>
        <v>0</v>
      </c>
      <c r="AZ43" s="1138">
        <f>海景嘉福汇报报告!P83/10000</f>
        <v>0</v>
      </c>
      <c r="BA43" s="1207" t="str">
        <f>海景嘉福汇报报告!Q83</f>
        <v>按车位12万元/个测算</v>
      </c>
      <c r="BB43" s="1137">
        <f>海景嘉福汇报报告!R83/10000</f>
        <v>0.65999999999999903</v>
      </c>
      <c r="BC43" s="1138">
        <f>海景嘉福汇报报告!S83/10000</f>
        <v>8.6260144389025795E-2</v>
      </c>
      <c r="BE43" s="1351"/>
      <c r="BF43" s="1353"/>
      <c r="BG43" s="891" t="s">
        <v>21</v>
      </c>
      <c r="BH43" s="892" t="s">
        <v>22</v>
      </c>
      <c r="BI43" s="890" t="s">
        <v>21</v>
      </c>
      <c r="BJ43" s="892" t="s">
        <v>22</v>
      </c>
      <c r="BK43" s="891" t="s">
        <v>26</v>
      </c>
      <c r="BL43" s="937" t="s">
        <v>27</v>
      </c>
      <c r="BM43" s="1587" t="s">
        <v>23</v>
      </c>
      <c r="BN43" s="1585"/>
    </row>
    <row r="44" spans="2:66" s="414" customFormat="1" ht="17.25" thickBot="1" x14ac:dyDescent="0.2">
      <c r="B44" s="415"/>
      <c r="D44" s="415"/>
      <c r="E44" s="888"/>
      <c r="AE44" s="956"/>
      <c r="AL44" s="658" t="s">
        <v>45</v>
      </c>
      <c r="AM44" s="659" t="s">
        <v>130</v>
      </c>
      <c r="AN44" s="1115"/>
      <c r="AO44" s="1184">
        <f>海景嘉福汇报报告!E84/10000</f>
        <v>0.45500000000000002</v>
      </c>
      <c r="AP44" s="1172">
        <f>海景嘉福汇报报告!F84/10000</f>
        <v>5.9467220753040603E-2</v>
      </c>
      <c r="AQ44" s="1185">
        <f>海景嘉福汇报报告!G84/10000</f>
        <v>0</v>
      </c>
      <c r="AR44" s="1172">
        <f>海景嘉福汇报报告!H84/10000</f>
        <v>0</v>
      </c>
      <c r="AS44" s="1185"/>
      <c r="AT44" s="1184">
        <f>海景嘉福汇报报告!J84/10000</f>
        <v>0.45500000000000002</v>
      </c>
      <c r="AU44" s="1172">
        <f>海景嘉福汇报报告!K84/10000</f>
        <v>5.9467220753040603E-2</v>
      </c>
      <c r="AV44" s="1185"/>
      <c r="AW44" s="1184">
        <f>海景嘉福汇报报告!M84/10000</f>
        <v>1.0570287897299999E-3</v>
      </c>
      <c r="AX44" s="1184">
        <f>海景嘉福汇报报告!N84/10000</f>
        <v>1.38150690947677E-4</v>
      </c>
      <c r="AY44" s="1184">
        <f>海景嘉福汇报报告!O84/10000</f>
        <v>0</v>
      </c>
      <c r="AZ44" s="1172">
        <f>海景嘉福汇报报告!P84/10000</f>
        <v>0</v>
      </c>
      <c r="BA44" s="1185"/>
      <c r="BB44" s="1184">
        <f>海景嘉福汇报报告!R84/10000</f>
        <v>0.45500000000000002</v>
      </c>
      <c r="BC44" s="1172">
        <f>海景嘉福汇报报告!S84/10000</f>
        <v>5.9467220753040603E-2</v>
      </c>
      <c r="BE44" s="893"/>
      <c r="BF44" s="894" t="s">
        <v>32</v>
      </c>
      <c r="BG44" s="895"/>
      <c r="BH44" s="896" t="s">
        <v>33</v>
      </c>
      <c r="BI44" s="959"/>
      <c r="BJ44" s="958"/>
      <c r="BK44" s="983"/>
      <c r="BL44" s="984"/>
      <c r="BM44" s="1588"/>
      <c r="BN44" s="1624">
        <f>BJ56/BJ45</f>
        <v>1.4877016575941922</v>
      </c>
    </row>
    <row r="45" spans="2:66" s="414" customFormat="1" ht="17.25" thickBot="1" x14ac:dyDescent="0.2">
      <c r="B45" s="415"/>
      <c r="D45" s="415"/>
      <c r="E45" s="888"/>
      <c r="AE45" s="956"/>
      <c r="AL45" s="658" t="s">
        <v>83</v>
      </c>
      <c r="AM45" s="659" t="s">
        <v>132</v>
      </c>
      <c r="AN45" s="1115"/>
      <c r="AO45" s="1184">
        <f>海景嘉福汇报报告!E86/10000</f>
        <v>5.8319000000000001</v>
      </c>
      <c r="AP45" s="1172">
        <f>海景嘉福汇报报告!F86/10000</f>
        <v>0.76221293342781904</v>
      </c>
      <c r="AQ45" s="1185">
        <f>海景嘉福汇报报告!G86/10000</f>
        <v>0</v>
      </c>
      <c r="AR45" s="1172">
        <f>海景嘉福汇报报告!H86/10000</f>
        <v>0</v>
      </c>
      <c r="AS45" s="1185"/>
      <c r="AT45" s="1184">
        <f>海景嘉福汇报报告!J86/10000</f>
        <v>4.9318949399999994</v>
      </c>
      <c r="AU45" s="1172">
        <f>海景嘉福汇报报告!K86/10000</f>
        <v>0.64458480247864602</v>
      </c>
      <c r="AV45" s="1185"/>
      <c r="AW45" s="1184">
        <f>海景嘉福汇报报告!M86/10000</f>
        <v>1.14574833835246E-2</v>
      </c>
      <c r="AX45" s="1184">
        <f>海景嘉福汇报报告!N86/10000</f>
        <v>1.49746086514803E-3</v>
      </c>
      <c r="AY45" s="1184">
        <f>海景嘉福汇报报告!O86/10000</f>
        <v>0</v>
      </c>
      <c r="AZ45" s="1172">
        <f>海景嘉福汇报报告!P86/10000</f>
        <v>0</v>
      </c>
      <c r="BA45" s="1185"/>
      <c r="BB45" s="1184">
        <f>海景嘉福汇报报告!R86/10000</f>
        <v>4.9318949399999994</v>
      </c>
      <c r="BC45" s="1172">
        <f>海景嘉福汇报报告!S86/10000</f>
        <v>0.64458480247864602</v>
      </c>
      <c r="BE45" s="893" t="s">
        <v>40</v>
      </c>
      <c r="BF45" s="894" t="s">
        <v>41</v>
      </c>
      <c r="BG45" s="895"/>
      <c r="BH45" s="958">
        <f>金山湖!C124/10000</f>
        <v>0.875</v>
      </c>
      <c r="BI45" s="959"/>
      <c r="BJ45" s="958">
        <f>金山湖!P124/10000</f>
        <v>1.2206447629000001</v>
      </c>
      <c r="BK45" s="983">
        <f>BJ45</f>
        <v>1.2206447629000001</v>
      </c>
      <c r="BL45" s="984"/>
      <c r="BM45" s="1588"/>
      <c r="BN45" s="1625"/>
    </row>
    <row r="46" spans="2:66" s="414" customFormat="1" ht="20.25" customHeight="1" thickBot="1" x14ac:dyDescent="0.25">
      <c r="B46" s="415"/>
      <c r="D46" s="415"/>
      <c r="E46" s="888"/>
      <c r="AE46" s="956"/>
      <c r="AL46" s="488">
        <v>1</v>
      </c>
      <c r="AM46" s="481" t="s">
        <v>133</v>
      </c>
      <c r="AN46" s="1116">
        <f>海景嘉福汇报报告!D87</f>
        <v>0.36583709903612799</v>
      </c>
      <c r="AO46" s="1137">
        <f>海景嘉福汇报报告!E87/10000</f>
        <v>3.2869000000000002</v>
      </c>
      <c r="AP46" s="1138">
        <f>海景嘉福汇报报告!F87/10000</f>
        <v>0.42958858877619593</v>
      </c>
      <c r="AQ46" s="1139"/>
      <c r="AR46" s="1138">
        <f>海景嘉福汇报报告!H87/10000</f>
        <v>0</v>
      </c>
      <c r="AS46" s="1186" t="str">
        <f>海景嘉福汇报报告!I87</f>
        <v>按实际建安成本3100元/㎡测算</v>
      </c>
      <c r="AT46" s="1137">
        <f>海景嘉福汇报报告!J87/10000</f>
        <v>2.3718949400000002</v>
      </c>
      <c r="AU46" s="1138">
        <f>海景嘉福汇报报告!K87/10000</f>
        <v>0.31</v>
      </c>
      <c r="AV46" s="1188">
        <f>海景嘉福汇报报告!L87</f>
        <v>0.40816625767926901</v>
      </c>
      <c r="AW46" s="1137">
        <f>海景嘉福汇报报告!M87/10000</f>
        <v>5.5102444786701297E-3</v>
      </c>
      <c r="AX46" s="1137">
        <f>海景嘉福汇报报告!N87/10000</f>
        <v>7.2017346113472497E-4</v>
      </c>
      <c r="AY46" s="1137">
        <f>海景嘉福汇报报告!O87/10000</f>
        <v>0</v>
      </c>
      <c r="AZ46" s="1138">
        <f>海景嘉福汇报报告!P87/10000</f>
        <v>0</v>
      </c>
      <c r="BA46" s="1208" t="str">
        <f>海景嘉福汇报报告!Q87</f>
        <v>按实际建安成本3100元/㎡测算</v>
      </c>
      <c r="BB46" s="1137">
        <f>海景嘉福汇报报告!R87/10000</f>
        <v>2.3718949400000002</v>
      </c>
      <c r="BC46" s="1138">
        <f>海景嘉福汇报报告!S87/10000</f>
        <v>0.31</v>
      </c>
      <c r="BE46" s="901" t="s">
        <v>45</v>
      </c>
      <c r="BF46" s="902" t="s">
        <v>46</v>
      </c>
      <c r="BG46" s="903"/>
      <c r="BH46" s="942">
        <f>SUM(BH47:BH55)</f>
        <v>2.8090999999999999</v>
      </c>
      <c r="BI46" s="961"/>
      <c r="BJ46" s="942">
        <f>SUM(BJ47:BJ55)</f>
        <v>3.0366</v>
      </c>
      <c r="BK46" s="988">
        <f>SUM(BK47:BK55)</f>
        <v>0.3</v>
      </c>
      <c r="BL46" s="989">
        <f>BJ46-BK46</f>
        <v>2.7366000000000001</v>
      </c>
      <c r="BM46" s="1602" t="s">
        <v>47</v>
      </c>
      <c r="BN46" s="1625"/>
    </row>
    <row r="47" spans="2:66" s="414" customFormat="1" ht="30" thickBot="1" x14ac:dyDescent="0.25">
      <c r="B47" s="415"/>
      <c r="D47" s="415"/>
      <c r="E47" s="888"/>
      <c r="AE47" s="956"/>
      <c r="AL47" s="488">
        <v>2</v>
      </c>
      <c r="AM47" s="481" t="s">
        <v>134</v>
      </c>
      <c r="AN47" s="1116">
        <f>海景嘉福汇报报告!D88</f>
        <v>0.283262471339848</v>
      </c>
      <c r="AO47" s="1137">
        <f>海景嘉福汇报报告!E88/10000</f>
        <v>2.5449999999999999</v>
      </c>
      <c r="AP47" s="1138">
        <f>海景嘉福汇报报告!F88/10000</f>
        <v>0.33262434465162299</v>
      </c>
      <c r="AQ47" s="1139"/>
      <c r="AR47" s="1138">
        <f>海景嘉福汇报报告!H88/10000</f>
        <v>0</v>
      </c>
      <c r="AS47" s="1186" t="str">
        <f>海景嘉福汇报报告!I88</f>
        <v>合作方收回</v>
      </c>
      <c r="AT47" s="1137">
        <f>海景嘉福汇报报告!J88/10000</f>
        <v>2.56</v>
      </c>
      <c r="AU47" s="1138">
        <f>海景嘉福汇报报告!K88/10000</f>
        <v>0.33458480247864597</v>
      </c>
      <c r="AV47" s="1188">
        <f>海景嘉福汇报报告!L88</f>
        <v>0.440536215174408</v>
      </c>
      <c r="AW47" s="1137">
        <f>海景嘉福汇报报告!M88/10000</f>
        <v>5.9472389048545E-3</v>
      </c>
      <c r="AX47" s="1137">
        <f>海景嘉福汇报报告!N88/10000</f>
        <v>7.7728740401330598E-4</v>
      </c>
      <c r="AY47" s="1137">
        <f>海景嘉福汇报报告!O88/10000</f>
        <v>0</v>
      </c>
      <c r="AZ47" s="1138">
        <f>海景嘉福汇报报告!P88/10000</f>
        <v>0</v>
      </c>
      <c r="BA47" s="1208" t="str">
        <f>海景嘉福汇报报告!Q88</f>
        <v>合作方收回</v>
      </c>
      <c r="BB47" s="1137">
        <f>海景嘉福汇报报告!R88/10000</f>
        <v>2.56</v>
      </c>
      <c r="BC47" s="1138">
        <f>海景嘉福汇报报告!S88/10000</f>
        <v>0.33458480247864597</v>
      </c>
      <c r="BE47" s="906">
        <v>2.1</v>
      </c>
      <c r="BF47" s="907" t="s">
        <v>49</v>
      </c>
      <c r="BG47" s="913" t="s">
        <v>51</v>
      </c>
      <c r="BH47" s="945">
        <f>金山湖!C115/10000</f>
        <v>0.67310000000000003</v>
      </c>
      <c r="BI47" s="963" t="s">
        <v>53</v>
      </c>
      <c r="BJ47" s="964"/>
      <c r="BK47" s="1359">
        <v>0</v>
      </c>
      <c r="BL47" s="1362">
        <f>BJ47</f>
        <v>0</v>
      </c>
      <c r="BM47" s="1603"/>
      <c r="BN47" s="1625"/>
    </row>
    <row r="48" spans="2:66" s="414" customFormat="1" ht="20.25" thickBot="1" x14ac:dyDescent="0.2">
      <c r="B48" s="415"/>
      <c r="D48" s="415"/>
      <c r="E48" s="888"/>
      <c r="AE48" s="956"/>
      <c r="AL48" s="658" t="s">
        <v>105</v>
      </c>
      <c r="AM48" s="659" t="s">
        <v>135</v>
      </c>
      <c r="AN48" s="1115"/>
      <c r="AO48" s="1184">
        <f>海景嘉福汇报报告!E89/10000</f>
        <v>2.6977000000000002</v>
      </c>
      <c r="AP48" s="1172">
        <f>海景嘉福汇报报告!F89/10000</f>
        <v>0.35258180533071998</v>
      </c>
      <c r="AQ48" s="1185">
        <f>海景嘉福汇报报告!G89/10000</f>
        <v>0</v>
      </c>
      <c r="AR48" s="1172">
        <f>海景嘉福汇报报告!H89/10000</f>
        <v>0</v>
      </c>
      <c r="AS48" s="1185"/>
      <c r="AT48" s="1184">
        <f>海景嘉福汇报报告!J89/10000</f>
        <v>0.42420505999999997</v>
      </c>
      <c r="AU48" s="1172">
        <f>海景嘉福汇报报告!K89/10000</f>
        <v>5.5442408675992705E-2</v>
      </c>
      <c r="AV48" s="1185"/>
      <c r="AW48" s="1184">
        <f>海景嘉福汇报报告!M89/10000</f>
        <v>9.8548782674536418E-4</v>
      </c>
      <c r="AX48" s="1184">
        <f>海景嘉福汇报报告!N89/10000</f>
        <v>1.28800488225276E-4</v>
      </c>
      <c r="AY48" s="1184">
        <f>海景嘉福汇报报告!O89/10000</f>
        <v>0</v>
      </c>
      <c r="AZ48" s="1172">
        <f>海景嘉福汇报报告!P89/10000</f>
        <v>0</v>
      </c>
      <c r="BA48" s="1185"/>
      <c r="BB48" s="1184">
        <f>海景嘉福汇报报告!R89/10000</f>
        <v>0.42420505999999997</v>
      </c>
      <c r="BC48" s="1172">
        <f>海景嘉福汇报报告!S89/10000</f>
        <v>5.5442408675992705E-2</v>
      </c>
      <c r="BE48" s="906">
        <v>2.2000000000000002</v>
      </c>
      <c r="BF48" s="965" t="s">
        <v>56</v>
      </c>
      <c r="BG48" s="913" t="s">
        <v>57</v>
      </c>
      <c r="BH48" s="945">
        <f>金山湖!C116/10000</f>
        <v>0.33589999999999998</v>
      </c>
      <c r="BI48" s="967"/>
      <c r="BJ48" s="968"/>
      <c r="BK48" s="1360"/>
      <c r="BL48" s="1363"/>
      <c r="BM48" s="1604"/>
      <c r="BN48" s="1625"/>
    </row>
    <row r="49" spans="2:66" s="414" customFormat="1" ht="17.25" thickBot="1" x14ac:dyDescent="0.25">
      <c r="B49" s="415"/>
      <c r="D49" s="415"/>
      <c r="E49" s="888"/>
      <c r="AE49" s="956"/>
      <c r="AL49" s="664"/>
      <c r="AM49" s="665" t="s">
        <v>136</v>
      </c>
      <c r="AN49" s="1117"/>
      <c r="AO49" s="1189">
        <f>海景嘉福汇报报告!E90</f>
        <v>0.30025821962023902</v>
      </c>
      <c r="AP49" s="1190">
        <f>海景嘉福汇报报告!F90</f>
        <v>0.30025821962023902</v>
      </c>
      <c r="AQ49" s="1191"/>
      <c r="AR49" s="1190"/>
      <c r="AS49" s="1186"/>
      <c r="AT49" s="1189">
        <f>海景嘉福汇报报告!J90</f>
        <v>7.2999098277434504E-2</v>
      </c>
      <c r="AU49" s="1190">
        <f>海景嘉福汇报报告!K90</f>
        <v>7.2999098277434199E-2</v>
      </c>
      <c r="AV49" s="1191"/>
      <c r="AW49" s="1189">
        <f>海景嘉福汇报报告!M90</f>
        <v>7.2999098277434393E-2</v>
      </c>
      <c r="AX49" s="1189">
        <f>海景嘉福汇报报告!N90</f>
        <v>7.2999098277434296E-2</v>
      </c>
      <c r="AY49" s="1189"/>
      <c r="AZ49" s="1190"/>
      <c r="BA49" s="1191"/>
      <c r="BB49" s="1189">
        <f>海景嘉福汇报报告!R90</f>
        <v>7.2999098277434504E-2</v>
      </c>
      <c r="BC49" s="1190">
        <f>海景嘉福汇报报告!S90</f>
        <v>7.2999098277434199E-2</v>
      </c>
      <c r="BE49" s="906">
        <v>2.2999999999999998</v>
      </c>
      <c r="BF49" s="907" t="s">
        <v>62</v>
      </c>
      <c r="BG49" s="908"/>
      <c r="BH49" s="945">
        <f>金山湖!C117/10000</f>
        <v>0</v>
      </c>
      <c r="BI49" s="967"/>
      <c r="BJ49" s="968"/>
      <c r="BK49" s="1360"/>
      <c r="BL49" s="1363"/>
      <c r="BM49" s="1604"/>
      <c r="BN49" s="1625"/>
    </row>
    <row r="50" spans="2:66" s="414" customFormat="1" ht="17.25" thickBot="1" x14ac:dyDescent="0.2">
      <c r="B50" s="415"/>
      <c r="D50" s="415"/>
      <c r="E50" s="888"/>
      <c r="AE50" s="956"/>
      <c r="AL50" s="658" t="s">
        <v>112</v>
      </c>
      <c r="AM50" s="659" t="s">
        <v>137</v>
      </c>
      <c r="AN50" s="1115"/>
      <c r="AO50" s="1184">
        <f>海景嘉福汇报报告!E91/10000</f>
        <v>1.3738999999999999</v>
      </c>
      <c r="AP50" s="1172">
        <f>海景嘉福汇报报告!F91/10000</f>
        <v>0.17956486723648901</v>
      </c>
      <c r="AQ50" s="1185">
        <f>海景嘉福汇报报告!G91/10000</f>
        <v>0.2468819434</v>
      </c>
      <c r="AR50" s="1172">
        <f>海景嘉福汇报报告!H91/10000</f>
        <v>3.2266775885950498E-2</v>
      </c>
      <c r="AS50" s="1185"/>
      <c r="AT50" s="1184">
        <f>海景嘉福汇报报告!J91/10000</f>
        <v>1.2039891119999999</v>
      </c>
      <c r="AU50" s="1172">
        <f>海景嘉福汇报报告!K91/10000</f>
        <v>0.15735799188475</v>
      </c>
      <c r="AV50" s="1185"/>
      <c r="AW50" s="1184">
        <f>海景嘉福汇报报告!M91/10000</f>
        <v>0.2372161263</v>
      </c>
      <c r="AX50" s="1184">
        <f>海景嘉福汇报报告!N91/10000</f>
        <v>3.10034807667324E-2</v>
      </c>
      <c r="AY50" s="1184">
        <f>海景嘉福汇报报告!O91/10000</f>
        <v>0.2372161263</v>
      </c>
      <c r="AZ50" s="1172">
        <f>海景嘉福汇报报告!P91/10000</f>
        <v>3.10034807667324E-2</v>
      </c>
      <c r="BA50" s="1185"/>
      <c r="BB50" s="1184">
        <f>海景嘉福汇报报告!R91/10000</f>
        <v>1.2039891119999999</v>
      </c>
      <c r="BC50" s="1172">
        <f>海景嘉福汇报报告!S91/10000</f>
        <v>0.15735799188475</v>
      </c>
      <c r="BE50" s="906">
        <v>2.4</v>
      </c>
      <c r="BF50" s="907" t="s">
        <v>66</v>
      </c>
      <c r="BG50" s="913" t="s">
        <v>70</v>
      </c>
      <c r="BH50" s="945">
        <f>金山湖!C118/10000</f>
        <v>0.92510000000000003</v>
      </c>
      <c r="BI50" s="967"/>
      <c r="BJ50" s="968"/>
      <c r="BK50" s="1360"/>
      <c r="BL50" s="1363"/>
      <c r="BM50" s="1604"/>
      <c r="BN50" s="1625"/>
    </row>
    <row r="51" spans="2:66" s="414" customFormat="1" ht="17.25" thickBot="1" x14ac:dyDescent="0.25">
      <c r="B51" s="415"/>
      <c r="D51" s="415"/>
      <c r="E51" s="888"/>
      <c r="AE51" s="956"/>
      <c r="AL51" s="467">
        <v>1</v>
      </c>
      <c r="AM51" s="468" t="s">
        <v>89</v>
      </c>
      <c r="AN51" s="1118">
        <f>海景嘉福汇报报告!D92</f>
        <v>2.29949023885315E-2</v>
      </c>
      <c r="AO51" s="1137">
        <f>海景嘉福汇报报告!E92/10000</f>
        <v>0.20660000000000001</v>
      </c>
      <c r="AP51" s="1138">
        <f>海景嘉福汇报报告!F92/10000</f>
        <v>2.70020391375345E-2</v>
      </c>
      <c r="AQ51" s="1139">
        <f>海景嘉福汇报报告!G92/10000</f>
        <v>4.8209631599999997E-2</v>
      </c>
      <c r="AR51" s="1138">
        <f>海景嘉福汇报报告!H92/10000</f>
        <v>6.3008633072087102E-3</v>
      </c>
      <c r="AS51" s="1186" t="str">
        <f>海景嘉福汇报报告!I92</f>
        <v>按5.8%测算</v>
      </c>
      <c r="AT51" s="1137">
        <f>海景嘉福汇报报告!J92/10000</f>
        <v>0.33704460619999999</v>
      </c>
      <c r="AU51" s="1138">
        <f>海景嘉福汇报报告!K92/10000</f>
        <v>4.4050782418718799E-2</v>
      </c>
      <c r="AV51" s="1192">
        <f>海景嘉福汇报报告!L92</f>
        <v>5.5125350222222202</v>
      </c>
      <c r="AW51" s="1137">
        <f>海景嘉福汇报报告!M92/10000</f>
        <v>7.4419222800000004E-2</v>
      </c>
      <c r="AX51" s="1137">
        <f>海景嘉福汇报报告!N92/10000</f>
        <v>9.7263831879501397E-3</v>
      </c>
      <c r="AY51" s="1137">
        <f>海景嘉福汇报报告!O92/10000</f>
        <v>7.4419222800000004E-2</v>
      </c>
      <c r="AZ51" s="1138">
        <f>海景嘉福汇报报告!P92/10000</f>
        <v>9.7263831879501397E-3</v>
      </c>
      <c r="BA51" s="1208" t="str">
        <f>海景嘉福汇报报告!Q92</f>
        <v>按5.8%测算</v>
      </c>
      <c r="BB51" s="1137">
        <f>海景嘉福汇报报告!R92/10000</f>
        <v>0.33704460619999999</v>
      </c>
      <c r="BC51" s="1138">
        <f>海景嘉福汇报报告!S92/10000</f>
        <v>4.4050782418718799E-2</v>
      </c>
      <c r="BE51" s="906">
        <v>2.5</v>
      </c>
      <c r="BF51" s="907" t="s">
        <v>74</v>
      </c>
      <c r="BG51" s="915"/>
      <c r="BH51" s="945"/>
      <c r="BI51" s="969"/>
      <c r="BJ51" s="970"/>
      <c r="BK51" s="1361"/>
      <c r="BL51" s="1364"/>
      <c r="BM51" s="1605"/>
      <c r="BN51" s="1625"/>
    </row>
    <row r="52" spans="2:66" s="414" customFormat="1" ht="49.5" thickBot="1" x14ac:dyDescent="0.25">
      <c r="B52" s="415"/>
      <c r="D52" s="415"/>
      <c r="E52" s="888"/>
      <c r="AE52" s="956"/>
      <c r="AL52" s="467">
        <v>2</v>
      </c>
      <c r="AM52" s="468" t="s">
        <v>93</v>
      </c>
      <c r="AN52" s="1113">
        <f>海景嘉福汇报报告!D93</f>
        <v>6.1994969169467798E-2</v>
      </c>
      <c r="AO52" s="1137">
        <f>海景嘉福汇报报告!E93/10000</f>
        <v>0.55700000000000005</v>
      </c>
      <c r="AP52" s="1138">
        <f>海景嘉福汇报报告!F93/10000</f>
        <v>7.2798333976799204E-2</v>
      </c>
      <c r="AQ52" s="1139">
        <f>海景嘉福汇报报告!G93/10000</f>
        <v>0.14161463690000001</v>
      </c>
      <c r="AR52" s="1138">
        <f>海景嘉福汇报报告!H93/10000</f>
        <v>1.8508634888777999E-2</v>
      </c>
      <c r="AS52" s="1186" t="str">
        <f>海景嘉福汇报报告!I93</f>
        <v>实际需求计算</v>
      </c>
      <c r="AT52" s="1137">
        <f>海景嘉福汇报报告!J93/10000</f>
        <v>0.12784450580000001</v>
      </c>
      <c r="AU52" s="1138">
        <f>海景嘉福汇报报告!K93/10000</f>
        <v>1.67089174691692E-2</v>
      </c>
      <c r="AV52" s="1192">
        <f>海景嘉福汇报报告!L93</f>
        <v>10.8787307407407</v>
      </c>
      <c r="AW52" s="1137">
        <f>海景嘉福汇报报告!M93/10000</f>
        <v>0.14686286500000001</v>
      </c>
      <c r="AX52" s="1137">
        <f>海景嘉福汇报报告!N93/10000</f>
        <v>1.9194563545887899E-2</v>
      </c>
      <c r="AY52" s="1137">
        <f>海景嘉福汇报报告!O93/10000</f>
        <v>0.14686286500000001</v>
      </c>
      <c r="AZ52" s="1138">
        <f>海景嘉福汇报报告!P93/10000</f>
        <v>1.9194563545887899E-2</v>
      </c>
      <c r="BA52" s="1208" t="str">
        <f>海景嘉福汇报报告!Q93</f>
        <v>实际需求计算</v>
      </c>
      <c r="BB52" s="1137">
        <f>海景嘉福汇报报告!R93/10000</f>
        <v>0.12784450580000001</v>
      </c>
      <c r="BC52" s="1138">
        <f>海景嘉福汇报报告!S93/10000</f>
        <v>1.67089174691692E-2</v>
      </c>
      <c r="BE52" s="906">
        <v>2.6</v>
      </c>
      <c r="BF52" s="907" t="s">
        <v>79</v>
      </c>
      <c r="BG52" s="915"/>
      <c r="BH52" s="945"/>
      <c r="BI52" s="971" t="s">
        <v>80</v>
      </c>
      <c r="BJ52" s="972">
        <f>80000*1%*20%/10000</f>
        <v>1.6E-2</v>
      </c>
      <c r="BK52" s="993"/>
      <c r="BL52" s="994"/>
      <c r="BM52" s="1606"/>
      <c r="BN52" s="1625"/>
    </row>
    <row r="53" spans="2:66" s="414" customFormat="1" ht="59.25" thickBot="1" x14ac:dyDescent="0.25">
      <c r="B53" s="415"/>
      <c r="D53" s="415"/>
      <c r="E53" s="888"/>
      <c r="AE53" s="956"/>
      <c r="AL53" s="467">
        <v>3</v>
      </c>
      <c r="AM53" s="468" t="s">
        <v>98</v>
      </c>
      <c r="AN53" s="1113">
        <f>海景嘉福汇报报告!D96</f>
        <v>6.7927342341339597E-2</v>
      </c>
      <c r="AO53" s="1137">
        <f>海景嘉福汇报报告!E96/10000</f>
        <v>0.61029999999999995</v>
      </c>
      <c r="AP53" s="1138">
        <f>海景嘉福汇报报告!F96/10000</f>
        <v>7.9764494122155305E-2</v>
      </c>
      <c r="AQ53" s="1139">
        <f>海景嘉福汇报报告!G96/10000</f>
        <v>5.7057674899999994E-2</v>
      </c>
      <c r="AR53" s="1138">
        <f>海景嘉福汇报报告!H96/10000</f>
        <v>7.4572776899637901E-3</v>
      </c>
      <c r="AS53" s="1186" t="str">
        <f>海景嘉福汇报报告!I96</f>
        <v>按融资展期1.5年计算</v>
      </c>
      <c r="AT53" s="1137">
        <f>海景嘉福汇报报告!J96/10000</f>
        <v>0.73909999999999998</v>
      </c>
      <c r="AU53" s="1138">
        <f>海景嘉福汇报报告!K96/10000</f>
        <v>9.6598291996862207E-2</v>
      </c>
      <c r="AV53" s="1192">
        <f>海景嘉福汇报报告!L96</f>
        <v>1.18029914814815</v>
      </c>
      <c r="AW53" s="1137">
        <f>海景嘉福汇报报告!M96/10000</f>
        <v>1.5934038500000001E-2</v>
      </c>
      <c r="AX53" s="1137">
        <f>海景嘉福汇报报告!N96/10000</f>
        <v>2.0825340328943899E-3</v>
      </c>
      <c r="AY53" s="1137">
        <f>海景嘉福汇报报告!O96/10000</f>
        <v>1.5934038500000001E-2</v>
      </c>
      <c r="AZ53" s="1138">
        <f>海景嘉福汇报报告!P96/10000</f>
        <v>2.0825340328943899E-3</v>
      </c>
      <c r="BA53" s="1208" t="str">
        <f>海景嘉福汇报报告!Q96</f>
        <v>按融资展期1.5年计算</v>
      </c>
      <c r="BB53" s="1137">
        <f>海景嘉福汇报报告!R96/10000</f>
        <v>0.73909999999999998</v>
      </c>
      <c r="BC53" s="1138">
        <f>海景嘉福汇报报告!S96/10000</f>
        <v>9.6598291996862207E-2</v>
      </c>
      <c r="BE53" s="906">
        <v>2.7</v>
      </c>
      <c r="BF53" s="907" t="s">
        <v>86</v>
      </c>
      <c r="BG53" s="915"/>
      <c r="BH53" s="945"/>
      <c r="BI53" s="973" t="s">
        <v>87</v>
      </c>
      <c r="BJ53" s="974">
        <v>1.4</v>
      </c>
      <c r="BK53" s="993"/>
      <c r="BL53" s="994">
        <f>BJ53</f>
        <v>1.4</v>
      </c>
      <c r="BM53" s="1606" t="s">
        <v>88</v>
      </c>
      <c r="BN53" s="1625"/>
    </row>
    <row r="54" spans="2:66" s="414" customFormat="1" ht="39.75" thickBot="1" x14ac:dyDescent="0.2">
      <c r="B54" s="415"/>
      <c r="D54" s="415"/>
      <c r="E54" s="888"/>
      <c r="AE54" s="956"/>
      <c r="AL54" s="658" t="s">
        <v>115</v>
      </c>
      <c r="AM54" s="659" t="s">
        <v>99</v>
      </c>
      <c r="AN54" s="1115"/>
      <c r="AO54" s="1184">
        <f>海景嘉福汇报报告!E100/10000</f>
        <v>0.71919999999999995</v>
      </c>
      <c r="AP54" s="1172">
        <f>海景嘉福汇报报告!F100/10000</f>
        <v>9.39974179463446E-2</v>
      </c>
      <c r="AQ54" s="1185">
        <f>海景嘉福汇报报告!G100/10000</f>
        <v>1.4162689000000001E-3</v>
      </c>
      <c r="AR54" s="1172">
        <f>海景嘉福汇报报告!H100/10000</f>
        <v>1.8510236334498E-4</v>
      </c>
      <c r="AS54" s="1185"/>
      <c r="AT54" s="1184">
        <f>海景嘉福汇报报告!J100/10000</f>
        <v>4.7149684199081297E-2</v>
      </c>
      <c r="AU54" s="1172">
        <f>海景嘉福汇报报告!K100/10000</f>
        <v>6.1623311619844303E-3</v>
      </c>
      <c r="AV54" s="1185"/>
      <c r="AW54" s="1184">
        <f>海景嘉福汇报报告!M100/10000</f>
        <v>2.2653831000000002E-3</v>
      </c>
      <c r="AX54" s="1184">
        <f>海景嘉福汇报报告!N100/10000</f>
        <v>2.9607920197342299E-4</v>
      </c>
      <c r="AY54" s="1184">
        <f>海景嘉福汇报报告!O100/10000</f>
        <v>2.2653831000000002E-3</v>
      </c>
      <c r="AZ54" s="1172">
        <f>海景嘉福汇报报告!P100/10000</f>
        <v>2.9607920197342299E-4</v>
      </c>
      <c r="BA54" s="1185"/>
      <c r="BB54" s="1184">
        <f>海景嘉福汇报报告!R100/10000</f>
        <v>4.7149684199081297E-2</v>
      </c>
      <c r="BC54" s="1172">
        <f>海景嘉福汇报报告!S100/10000</f>
        <v>6.1623311619844303E-3</v>
      </c>
      <c r="BE54" s="906">
        <v>2.8</v>
      </c>
      <c r="BF54" s="907" t="s">
        <v>91</v>
      </c>
      <c r="BG54" s="915"/>
      <c r="BH54" s="945"/>
      <c r="BI54" s="973" t="s">
        <v>92</v>
      </c>
      <c r="BJ54" s="975">
        <v>0.4</v>
      </c>
      <c r="BK54" s="993"/>
      <c r="BL54" s="994"/>
      <c r="BM54" s="1606"/>
      <c r="BN54" s="1625"/>
    </row>
    <row r="55" spans="2:66" s="414" customFormat="1" ht="17.25" thickBot="1" x14ac:dyDescent="0.2">
      <c r="B55" s="415"/>
      <c r="D55" s="415"/>
      <c r="E55" s="888"/>
      <c r="AE55" s="956"/>
      <c r="AL55" s="658" t="s">
        <v>147</v>
      </c>
      <c r="AM55" s="659" t="s">
        <v>148</v>
      </c>
      <c r="AN55" s="1115"/>
      <c r="AO55" s="1184">
        <f>海景嘉福汇报报告!E106/10000</f>
        <v>0.62490000000000001</v>
      </c>
      <c r="AP55" s="1172">
        <f>海景嘉福汇报报告!F106/10000</f>
        <v>8.1672673073791391E-2</v>
      </c>
      <c r="AQ55" s="1185">
        <f>海景嘉福汇报报告!G106/10000</f>
        <v>0</v>
      </c>
      <c r="AR55" s="1172">
        <f>海景嘉福汇报报告!H106/10000</f>
        <v>0</v>
      </c>
      <c r="AS55" s="1185"/>
      <c r="AT55" s="1184">
        <f>海景嘉福汇报报告!J106/10000</f>
        <v>-0.82693373619908195</v>
      </c>
      <c r="AU55" s="1172">
        <f>海景嘉福汇报报告!K106/10000</f>
        <v>-0.10807791437074199</v>
      </c>
      <c r="AV55" s="1185"/>
      <c r="AW55" s="1184">
        <f>海景嘉福汇报报告!M106/10000</f>
        <v>0</v>
      </c>
      <c r="AX55" s="1184">
        <f>海景嘉福汇报报告!N106/10000</f>
        <v>0</v>
      </c>
      <c r="AY55" s="1184">
        <f>海景嘉福汇报报告!O106/10000</f>
        <v>0</v>
      </c>
      <c r="AZ55" s="1172">
        <f>海景嘉福汇报报告!P106/10000</f>
        <v>0</v>
      </c>
      <c r="BA55" s="1185"/>
      <c r="BB55" s="1184">
        <f>海景嘉福汇报报告!R106/10000</f>
        <v>-0.82693373619908195</v>
      </c>
      <c r="BC55" s="1172">
        <f>海景嘉福汇报报告!S106/10000</f>
        <v>-0.10807791437074199</v>
      </c>
      <c r="BE55" s="906">
        <v>2.9</v>
      </c>
      <c r="BF55" s="907" t="s">
        <v>76</v>
      </c>
      <c r="BG55" s="915"/>
      <c r="BH55" s="945">
        <f>BH45</f>
        <v>0.875</v>
      </c>
      <c r="BI55" s="976"/>
      <c r="BJ55" s="945">
        <v>1.2205999999999999</v>
      </c>
      <c r="BK55" s="996">
        <f>金山湖!P128/10000</f>
        <v>0.3</v>
      </c>
      <c r="BL55" s="997">
        <f>BJ55-BK55</f>
        <v>0.92059999999999986</v>
      </c>
      <c r="BM55" s="1607" t="s">
        <v>97</v>
      </c>
      <c r="BN55" s="1625"/>
    </row>
    <row r="56" spans="2:66" s="414" customFormat="1" ht="27.75" thickBot="1" x14ac:dyDescent="0.25">
      <c r="B56" s="415"/>
      <c r="D56" s="415"/>
      <c r="E56" s="888"/>
      <c r="AE56" s="956"/>
      <c r="AL56" s="467">
        <v>9.1</v>
      </c>
      <c r="AM56" s="673" t="s">
        <v>149</v>
      </c>
      <c r="AN56" s="1113"/>
      <c r="AO56" s="1137">
        <f>海景嘉福汇报报告!E107/10000</f>
        <v>0.12497999999999999</v>
      </c>
      <c r="AP56" s="1138">
        <f>海景嘉福汇报报告!F107/10000</f>
        <v>1.6334534614758301E-2</v>
      </c>
      <c r="AQ56" s="1139">
        <f>海景嘉福汇报报告!G107/10000</f>
        <v>0</v>
      </c>
      <c r="AR56" s="1138">
        <f>海景嘉福汇报报告!H107/10000</f>
        <v>0</v>
      </c>
      <c r="AS56" s="1186"/>
      <c r="AT56" s="1137">
        <f>海景嘉福汇报报告!J107/10000</f>
        <v>-0.165386747239816</v>
      </c>
      <c r="AU56" s="1138">
        <f>海景嘉福汇报报告!K107/10000</f>
        <v>-2.1615582874148397E-2</v>
      </c>
      <c r="AV56" s="1139"/>
      <c r="AW56" s="1137">
        <f>海景嘉福汇报报告!M107/10000</f>
        <v>0</v>
      </c>
      <c r="AX56" s="1137">
        <f>海景嘉福汇报报告!N107/10000</f>
        <v>0</v>
      </c>
      <c r="AY56" s="1137">
        <f>海景嘉福汇报报告!O107/10000</f>
        <v>0</v>
      </c>
      <c r="AZ56" s="1138">
        <f>海景嘉福汇报报告!P107/10000</f>
        <v>0</v>
      </c>
      <c r="BA56" s="1139"/>
      <c r="BB56" s="1137">
        <f>海景嘉福汇报报告!R107/10000</f>
        <v>-0.165386747239816</v>
      </c>
      <c r="BC56" s="1138">
        <f>海景嘉福汇报报告!S107/10000</f>
        <v>-2.1615582874148397E-2</v>
      </c>
      <c r="BE56" s="901" t="s">
        <v>83</v>
      </c>
      <c r="BF56" s="902" t="s">
        <v>84</v>
      </c>
      <c r="BG56" s="903"/>
      <c r="BH56" s="916">
        <f>BH46-BH45</f>
        <v>1.9340999999999999</v>
      </c>
      <c r="BI56" s="977"/>
      <c r="BJ56" s="954">
        <f>BJ46-BJ45</f>
        <v>1.8159552370999998</v>
      </c>
      <c r="BK56" s="999">
        <f>BK46-BK45</f>
        <v>-0.92064476290000008</v>
      </c>
      <c r="BL56" s="1000">
        <f>BL46-BL45</f>
        <v>2.7366000000000001</v>
      </c>
      <c r="BM56" s="1590"/>
      <c r="BN56" s="1625"/>
    </row>
    <row r="57" spans="2:66" s="414" customFormat="1" ht="27.75" thickBot="1" x14ac:dyDescent="0.25">
      <c r="B57" s="415"/>
      <c r="D57" s="415"/>
      <c r="E57" s="888"/>
      <c r="AE57" s="956"/>
      <c r="AL57" s="467">
        <v>9.1999999999999993</v>
      </c>
      <c r="AM57" s="673" t="s">
        <v>150</v>
      </c>
      <c r="AN57" s="1113"/>
      <c r="AO57" s="1137">
        <f>海景嘉福汇报报告!E108/10000</f>
        <v>0.49991999999999998</v>
      </c>
      <c r="AP57" s="1138">
        <f>海景嘉福汇报报告!F108/10000</f>
        <v>6.5338138459033093E-2</v>
      </c>
      <c r="AQ57" s="1139">
        <f>海景嘉福汇报报告!G108/10000</f>
        <v>0</v>
      </c>
      <c r="AR57" s="1138">
        <f>海景嘉福汇报报告!H108/10000</f>
        <v>0</v>
      </c>
      <c r="AS57" s="1186"/>
      <c r="AT57" s="1137">
        <f>海景嘉福汇报报告!J108/10000</f>
        <v>-0.661546988959265</v>
      </c>
      <c r="AU57" s="1138">
        <f>海景嘉福汇报报告!K108/10000</f>
        <v>-8.6462331496593506E-2</v>
      </c>
      <c r="AV57" s="1139"/>
      <c r="AW57" s="1137">
        <f>海景嘉福汇报报告!M108/10000</f>
        <v>0</v>
      </c>
      <c r="AX57" s="1137">
        <f>海景嘉福汇报报告!N108/10000</f>
        <v>0</v>
      </c>
      <c r="AY57" s="1137">
        <f>海景嘉福汇报报告!O108/10000</f>
        <v>0</v>
      </c>
      <c r="AZ57" s="1138">
        <f>海景嘉福汇报报告!P108/10000</f>
        <v>0</v>
      </c>
      <c r="BA57" s="1139"/>
      <c r="BB57" s="1137">
        <f>海景嘉福汇报报告!R108/10000</f>
        <v>-0.661546988959265</v>
      </c>
      <c r="BC57" s="1138">
        <f>海景嘉福汇报报告!S108/10000</f>
        <v>-8.6462331496593506E-2</v>
      </c>
      <c r="BE57" s="1269" t="s">
        <v>3</v>
      </c>
      <c r="BF57" s="1270"/>
      <c r="BG57" s="1270"/>
      <c r="BH57" s="1270"/>
      <c r="BI57" s="1270"/>
      <c r="BJ57" s="1270"/>
      <c r="BK57" s="1270"/>
      <c r="BL57" s="1270"/>
      <c r="BM57" s="1270"/>
      <c r="BN57" s="1271"/>
    </row>
    <row r="58" spans="2:66" s="414" customFormat="1" ht="17.25" thickBot="1" x14ac:dyDescent="0.2">
      <c r="B58" s="415"/>
      <c r="D58" s="415"/>
      <c r="E58" s="888"/>
      <c r="AE58" s="956"/>
      <c r="AL58" s="675" t="s">
        <v>151</v>
      </c>
      <c r="AM58" s="676"/>
      <c r="AN58" s="1212"/>
      <c r="AO58" s="1215"/>
      <c r="AP58" s="1216"/>
      <c r="AQ58" s="1217">
        <f>海景嘉福汇报报告!G109/10000</f>
        <v>-0.24813261090000002</v>
      </c>
      <c r="AR58" s="1216">
        <f>海景嘉福汇报报告!H109/10000</f>
        <v>0</v>
      </c>
      <c r="AS58" s="1217"/>
      <c r="AT58" s="1215">
        <f>海景嘉福汇报报告!J109/10000</f>
        <v>-0.82693373619908195</v>
      </c>
      <c r="AU58" s="1216"/>
      <c r="AV58" s="1217"/>
      <c r="AW58" s="1340">
        <f>海景嘉福汇报报告!M109/10000</f>
        <v>-0.23828270157325501</v>
      </c>
      <c r="AX58" s="1340"/>
      <c r="AY58" s="1341">
        <f>海景嘉福汇报报告!O109/10000</f>
        <v>-0.23926818939999897</v>
      </c>
      <c r="AZ58" s="1342"/>
      <c r="BA58" s="1217"/>
      <c r="BB58" s="1215">
        <f>海景嘉福汇报报告!R109/10000</f>
        <v>-0.82693373619908195</v>
      </c>
      <c r="BC58" s="1216">
        <f>海景嘉福汇报报告!S109/10000</f>
        <v>0</v>
      </c>
      <c r="BE58" s="1274" t="s">
        <v>8</v>
      </c>
      <c r="BF58" s="1352" t="s">
        <v>9</v>
      </c>
      <c r="BG58" s="1272" t="s">
        <v>10</v>
      </c>
      <c r="BH58" s="1273"/>
      <c r="BI58" s="1289" t="s">
        <v>643</v>
      </c>
      <c r="BJ58" s="1273"/>
      <c r="BK58" s="1272" t="s">
        <v>13</v>
      </c>
      <c r="BL58" s="1275"/>
      <c r="BM58" s="1601"/>
      <c r="BN58" s="1582" t="s">
        <v>647</v>
      </c>
    </row>
    <row r="59" spans="2:66" s="414" customFormat="1" ht="17.25" thickBot="1" x14ac:dyDescent="0.2">
      <c r="B59" s="415"/>
      <c r="D59" s="415"/>
      <c r="E59" s="888"/>
      <c r="AE59" s="956"/>
      <c r="AL59" s="467" t="s">
        <v>152</v>
      </c>
      <c r="AM59" s="468" t="s">
        <v>152</v>
      </c>
      <c r="AN59" s="1113" t="str">
        <f>海景嘉福汇报报告!D110</f>
        <v>股东分配前</v>
      </c>
      <c r="AO59" s="1137">
        <f>海景嘉福汇报报告!E110/10000</f>
        <v>0.62490000000000001</v>
      </c>
      <c r="AP59" s="1138">
        <f>海景嘉福汇报报告!F110/10000</f>
        <v>0.62490000000000001</v>
      </c>
      <c r="AQ59" s="1139">
        <f>海景嘉福汇报报告!G110/10000</f>
        <v>6.4602006599999998E-2</v>
      </c>
      <c r="AR59" s="1218"/>
      <c r="AS59" s="1219"/>
      <c r="AT59" s="1137"/>
      <c r="AU59" s="1161"/>
      <c r="AV59" s="1220"/>
      <c r="AW59" s="1343">
        <f>海景嘉福汇报报告!M110/10000</f>
        <v>1.4447045499999998E-2</v>
      </c>
      <c r="AX59" s="1343"/>
      <c r="AY59" s="1343">
        <f>海景嘉福汇报报告!O110/10000</f>
        <v>1.4447045499999998E-2</v>
      </c>
      <c r="AZ59" s="1344"/>
      <c r="BA59" s="1245"/>
      <c r="BB59" s="1145"/>
      <c r="BC59" s="1246"/>
      <c r="BE59" s="1351"/>
      <c r="BF59" s="1353"/>
      <c r="BG59" s="891" t="s">
        <v>21</v>
      </c>
      <c r="BH59" s="892" t="s">
        <v>22</v>
      </c>
      <c r="BI59" s="890" t="s">
        <v>21</v>
      </c>
      <c r="BJ59" s="892" t="s">
        <v>22</v>
      </c>
      <c r="BK59" s="891" t="s">
        <v>185</v>
      </c>
      <c r="BL59" s="937" t="s">
        <v>27</v>
      </c>
      <c r="BM59" s="1587" t="s">
        <v>23</v>
      </c>
      <c r="BN59" s="1583"/>
    </row>
    <row r="60" spans="2:66" s="414" customFormat="1" ht="17.25" thickBot="1" x14ac:dyDescent="0.2">
      <c r="B60" s="415"/>
      <c r="D60" s="415"/>
      <c r="E60" s="888"/>
      <c r="AE60" s="956"/>
      <c r="AL60" s="1347" t="s">
        <v>153</v>
      </c>
      <c r="AM60" s="681" t="s">
        <v>154</v>
      </c>
      <c r="AN60" s="1113"/>
      <c r="AO60" s="1221"/>
      <c r="AP60" s="1161"/>
      <c r="AQ60" s="1139">
        <f>海景嘉福汇报报告!G111/10000</f>
        <v>0.01</v>
      </c>
      <c r="AR60" s="1218"/>
      <c r="AS60" s="1219"/>
      <c r="AT60" s="1222"/>
      <c r="AU60" s="1223"/>
      <c r="AV60" s="1224"/>
      <c r="AW60" s="1343">
        <f>海景嘉福汇报报告!M111/10000</f>
        <v>6.5650266999999997E-3</v>
      </c>
      <c r="AX60" s="1343"/>
      <c r="AY60" s="1343">
        <f>海景嘉福汇报报告!O111/10000</f>
        <v>6.5650266999999997E-3</v>
      </c>
      <c r="AZ60" s="1344"/>
      <c r="BA60" s="1245"/>
      <c r="BB60" s="1247"/>
      <c r="BC60" s="1248"/>
      <c r="BE60" s="1516"/>
      <c r="BF60" s="1517" t="s">
        <v>187</v>
      </c>
      <c r="BG60" s="1518" t="s">
        <v>188</v>
      </c>
      <c r="BH60" s="1519"/>
      <c r="BI60" s="1520"/>
      <c r="BJ60" s="1521"/>
      <c r="BK60" s="1522" t="s">
        <v>189</v>
      </c>
      <c r="BL60" s="1523"/>
      <c r="BM60" s="1608"/>
      <c r="BN60" s="1624">
        <f>BJ71/BJ61</f>
        <v>-0.62533577995330825</v>
      </c>
    </row>
    <row r="61" spans="2:66" s="414" customFormat="1" ht="17.25" thickBot="1" x14ac:dyDescent="0.2">
      <c r="B61" s="415"/>
      <c r="D61" s="415"/>
      <c r="E61" s="888"/>
      <c r="AE61" s="956"/>
      <c r="AL61" s="1348"/>
      <c r="AM61" s="468" t="s">
        <v>155</v>
      </c>
      <c r="AN61" s="1113"/>
      <c r="AO61" s="1221"/>
      <c r="AP61" s="1161"/>
      <c r="AQ61" s="1139">
        <f>海景嘉福汇报报告!G112/10000</f>
        <v>4.0962042766</v>
      </c>
      <c r="AR61" s="1218"/>
      <c r="AS61" s="1219"/>
      <c r="AT61" s="1222"/>
      <c r="AU61" s="1223"/>
      <c r="AV61" s="1224"/>
      <c r="AW61" s="1343">
        <f>海景嘉福汇报报告!M112/10000</f>
        <v>4.2723712724267404</v>
      </c>
      <c r="AX61" s="1343"/>
      <c r="AY61" s="1343">
        <f>海景嘉福汇报报告!O112/10000</f>
        <v>4.2848857846000001</v>
      </c>
      <c r="AZ61" s="1344"/>
      <c r="BA61" s="1245"/>
      <c r="BB61" s="1247"/>
      <c r="BC61" s="1248"/>
      <c r="BE61" s="893" t="s">
        <v>40</v>
      </c>
      <c r="BF61" s="894" t="s">
        <v>41</v>
      </c>
      <c r="BG61" s="987"/>
      <c r="BH61" s="958">
        <f>海景嘉福汇报报告!E144/10000</f>
        <v>0.6</v>
      </c>
      <c r="BI61" s="957"/>
      <c r="BJ61" s="1027">
        <f>海景嘉福汇报报告!M144/10000</f>
        <v>1.2748842965</v>
      </c>
      <c r="BK61" s="1024">
        <f>海景嘉福汇报报告!M144/10000</f>
        <v>1.2748842965</v>
      </c>
      <c r="BL61" s="984"/>
      <c r="BM61" s="1588"/>
      <c r="BN61" s="1625"/>
    </row>
    <row r="62" spans="2:66" s="414" customFormat="1" ht="17.25" customHeight="1" thickBot="1" x14ac:dyDescent="0.2">
      <c r="B62" s="415"/>
      <c r="D62" s="415"/>
      <c r="E62" s="888"/>
      <c r="AE62" s="956"/>
      <c r="AL62" s="1349"/>
      <c r="AM62" s="468" t="s">
        <v>156</v>
      </c>
      <c r="AN62" s="1113"/>
      <c r="AO62" s="1221"/>
      <c r="AP62" s="1161"/>
      <c r="AQ62" s="1139">
        <f>海景嘉福汇报报告!G113/10000</f>
        <v>0</v>
      </c>
      <c r="AR62" s="1218"/>
      <c r="AS62" s="1219"/>
      <c r="AT62" s="1222"/>
      <c r="AU62" s="1223"/>
      <c r="AV62" s="1224"/>
      <c r="AW62" s="1343">
        <f>海景嘉福汇报报告!M113/10000</f>
        <v>4.1166665999999998E-2</v>
      </c>
      <c r="AX62" s="1343"/>
      <c r="AY62" s="1343">
        <f>海景嘉福汇报报告!O113/10000</f>
        <v>4.1166665999999998E-2</v>
      </c>
      <c r="AZ62" s="1344"/>
      <c r="BA62" s="1245"/>
      <c r="BB62" s="1247"/>
      <c r="BC62" s="1248"/>
      <c r="BE62" s="901" t="s">
        <v>45</v>
      </c>
      <c r="BF62" s="902" t="s">
        <v>46</v>
      </c>
      <c r="BG62" s="903"/>
      <c r="BH62" s="942">
        <f t="shared" ref="BH62" si="1">SUM(BH63:BH70)</f>
        <v>1.10978</v>
      </c>
      <c r="BI62" s="960"/>
      <c r="BJ62" s="942">
        <f t="shared" ref="BJ62" si="2">SUM(BJ63:BJ70)</f>
        <v>0.4776535305979478</v>
      </c>
      <c r="BK62" s="1028">
        <f t="shared" ref="BK62" si="3">SUM(BK63:BK70)</f>
        <v>-0.79723076590205222</v>
      </c>
      <c r="BL62" s="989"/>
      <c r="BM62" s="1602"/>
      <c r="BN62" s="1625"/>
    </row>
    <row r="63" spans="2:66" s="414" customFormat="1" ht="17.25" thickBot="1" x14ac:dyDescent="0.2">
      <c r="B63" s="415"/>
      <c r="D63" s="415"/>
      <c r="E63" s="888"/>
      <c r="AE63" s="956"/>
      <c r="AL63" s="1347" t="s">
        <v>157</v>
      </c>
      <c r="AM63" s="468" t="s">
        <v>158</v>
      </c>
      <c r="AN63" s="1113"/>
      <c r="AO63" s="1221"/>
      <c r="AP63" s="1161"/>
      <c r="AQ63" s="1139">
        <f>海景嘉福汇报报告!G114/10000</f>
        <v>-0.17282107320000001</v>
      </c>
      <c r="AR63" s="1218"/>
      <c r="AS63" s="1219"/>
      <c r="AT63" s="1225">
        <v>0</v>
      </c>
      <c r="AU63" s="1226">
        <v>0</v>
      </c>
      <c r="AV63" s="1220"/>
      <c r="AW63" s="1343">
        <f>海景嘉福汇报报告!M114/10000</f>
        <v>-4.1705110300000098E-2</v>
      </c>
      <c r="AX63" s="1343"/>
      <c r="AY63" s="1343">
        <f>海景嘉福汇报报告!O114/10000</f>
        <v>-5.5205110300000103E-2</v>
      </c>
      <c r="AZ63" s="1344"/>
      <c r="BA63" s="1245"/>
      <c r="BB63" s="1249"/>
      <c r="BC63" s="1250">
        <v>0</v>
      </c>
      <c r="BE63" s="906">
        <v>2.1</v>
      </c>
      <c r="BF63" s="907" t="s">
        <v>49</v>
      </c>
      <c r="BG63" s="991">
        <v>0.03</v>
      </c>
      <c r="BH63" s="945">
        <f>海景嘉福汇报报告!E140/10000</f>
        <v>0.26950000000000002</v>
      </c>
      <c r="BI63" s="962"/>
      <c r="BJ63" s="945">
        <f>海景嘉福汇报报告!J140/10000</f>
        <v>2.9702970297029702E-2</v>
      </c>
      <c r="BK63" s="1031">
        <f>海景嘉福汇报报告!M140/10000</f>
        <v>2.9702970297029702E-2</v>
      </c>
      <c r="BL63" s="1052"/>
      <c r="BM63" s="1589" t="s">
        <v>192</v>
      </c>
      <c r="BN63" s="1625"/>
    </row>
    <row r="64" spans="2:66" s="414" customFormat="1" ht="17.25" thickBot="1" x14ac:dyDescent="0.2">
      <c r="B64" s="415"/>
      <c r="D64" s="415"/>
      <c r="E64" s="888"/>
      <c r="AE64" s="956"/>
      <c r="AL64" s="1348"/>
      <c r="AM64" s="468" t="s">
        <v>159</v>
      </c>
      <c r="AN64" s="1113"/>
      <c r="AO64" s="1221"/>
      <c r="AP64" s="1161"/>
      <c r="AQ64" s="1139">
        <f>海景嘉福汇报报告!G115/10000</f>
        <v>0</v>
      </c>
      <c r="AR64" s="1218"/>
      <c r="AS64" s="1219"/>
      <c r="AT64" s="1222"/>
      <c r="AU64" s="1223"/>
      <c r="AV64" s="1224"/>
      <c r="AW64" s="1343">
        <f>海景嘉福汇报报告!M115/10000</f>
        <v>0</v>
      </c>
      <c r="AX64" s="1343"/>
      <c r="AY64" s="1343">
        <f>海景嘉福汇报报告!O115/10000</f>
        <v>0</v>
      </c>
      <c r="AZ64" s="1344"/>
      <c r="BA64" s="1245"/>
      <c r="BB64" s="1247"/>
      <c r="BC64" s="1248"/>
      <c r="BE64" s="906">
        <v>2.2000000000000002</v>
      </c>
      <c r="BF64" s="965" t="s">
        <v>56</v>
      </c>
      <c r="BG64" s="992">
        <v>1.4999999999999999E-2</v>
      </c>
      <c r="BH64" s="945">
        <f>海景嘉福汇报报告!E141/10000</f>
        <v>0.1153</v>
      </c>
      <c r="BI64" s="966"/>
      <c r="BJ64" s="945"/>
      <c r="BK64" s="1029"/>
      <c r="BL64" s="1054"/>
      <c r="BM64" s="1609"/>
      <c r="BN64" s="1625"/>
    </row>
    <row r="65" spans="2:66" s="414" customFormat="1" ht="27.75" thickBot="1" x14ac:dyDescent="0.2">
      <c r="B65" s="415"/>
      <c r="D65" s="415"/>
      <c r="E65" s="888"/>
      <c r="AE65" s="956"/>
      <c r="AL65" s="1348"/>
      <c r="AM65" s="468" t="s">
        <v>160</v>
      </c>
      <c r="AN65" s="1113"/>
      <c r="AO65" s="1221"/>
      <c r="AP65" s="1161"/>
      <c r="AQ65" s="1139">
        <f>海景嘉福汇报报告!G116/10000</f>
        <v>3.1525170000000005E-2</v>
      </c>
      <c r="AR65" s="1218"/>
      <c r="AS65" s="1219"/>
      <c r="AT65" s="1222"/>
      <c r="AU65" s="1223"/>
      <c r="AV65" s="1224"/>
      <c r="AW65" s="1343">
        <f>海景嘉福汇报报告!M116/10000</f>
        <v>3.140693E-2</v>
      </c>
      <c r="AX65" s="1343"/>
      <c r="AY65" s="1343">
        <f>海景嘉福汇报报告!O116/10000</f>
        <v>3.140693E-2</v>
      </c>
      <c r="AZ65" s="1344"/>
      <c r="BA65" s="1245"/>
      <c r="BB65" s="1247"/>
      <c r="BC65" s="1248"/>
      <c r="BE65" s="906">
        <v>2.4</v>
      </c>
      <c r="BF65" s="907" t="s">
        <v>66</v>
      </c>
      <c r="BG65" s="913" t="s">
        <v>193</v>
      </c>
      <c r="BH65" s="945">
        <f>海景嘉福汇报报告!E142/10000</f>
        <v>0.12497999999999999</v>
      </c>
      <c r="BI65" s="966"/>
      <c r="BJ65" s="945">
        <f>海景嘉福汇报报告!R142/10000</f>
        <v>-0.82693373619908195</v>
      </c>
      <c r="BK65" s="1029">
        <f>海景嘉福汇报报告!R142/10000</f>
        <v>-0.82693373619908195</v>
      </c>
      <c r="BL65" s="1054"/>
      <c r="BM65" s="1609"/>
      <c r="BN65" s="1625"/>
    </row>
    <row r="66" spans="2:66" s="414" customFormat="1" ht="17.25" thickBot="1" x14ac:dyDescent="0.2">
      <c r="B66" s="415"/>
      <c r="D66" s="415"/>
      <c r="E66" s="888"/>
      <c r="AE66" s="956"/>
      <c r="AL66" s="1348"/>
      <c r="AM66" s="468" t="s">
        <v>161</v>
      </c>
      <c r="AN66" s="1113"/>
      <c r="AO66" s="1221"/>
      <c r="AP66" s="1161"/>
      <c r="AQ66" s="1139">
        <f>海景嘉福汇报报告!G117/10000</f>
        <v>-1.1834861999999999E-3</v>
      </c>
      <c r="AR66" s="1218"/>
      <c r="AS66" s="1219"/>
      <c r="AT66" s="1222"/>
      <c r="AU66" s="1223"/>
      <c r="AV66" s="1224"/>
      <c r="AW66" s="1343">
        <f>海景嘉福汇报报告!M117/10000</f>
        <v>-4.4826000000000495E-5</v>
      </c>
      <c r="AX66" s="1343"/>
      <c r="AY66" s="1343">
        <f>海景嘉福汇报报告!O117/10000</f>
        <v>1.3455174E-2</v>
      </c>
      <c r="AZ66" s="1344"/>
      <c r="BA66" s="1245"/>
      <c r="BB66" s="1247"/>
      <c r="BC66" s="1248"/>
      <c r="BE66" s="906">
        <v>2.5</v>
      </c>
      <c r="BF66" s="907" t="s">
        <v>74</v>
      </c>
      <c r="BG66" s="915"/>
      <c r="BH66" s="945"/>
      <c r="BI66" s="948"/>
      <c r="BJ66" s="945"/>
      <c r="BK66" s="1032"/>
      <c r="BL66" s="1056"/>
      <c r="BM66" s="1610"/>
      <c r="BN66" s="1625"/>
    </row>
    <row r="67" spans="2:66" s="414" customFormat="1" ht="17.25" thickBot="1" x14ac:dyDescent="0.2">
      <c r="B67" s="415"/>
      <c r="D67" s="415"/>
      <c r="E67" s="888"/>
      <c r="AE67" s="956"/>
      <c r="AL67" s="1348"/>
      <c r="AM67" s="468" t="s">
        <v>162</v>
      </c>
      <c r="AN67" s="1113"/>
      <c r="AO67" s="1221"/>
      <c r="AP67" s="1161"/>
      <c r="AQ67" s="1139">
        <f>海景嘉福汇报报告!G118/10000</f>
        <v>-3.1184555699999998E-2</v>
      </c>
      <c r="AR67" s="1218"/>
      <c r="AS67" s="1219"/>
      <c r="AT67" s="1222"/>
      <c r="AU67" s="1223"/>
      <c r="AV67" s="1224"/>
      <c r="AW67" s="1343">
        <f>海景嘉福汇报报告!M118/10000</f>
        <v>-3.3183295700000004E-2</v>
      </c>
      <c r="AX67" s="1343"/>
      <c r="AY67" s="1343">
        <f>海景嘉福汇报报告!O118/10000</f>
        <v>-3.3183295700000004E-2</v>
      </c>
      <c r="AZ67" s="1344"/>
      <c r="BA67" s="1245"/>
      <c r="BB67" s="1247"/>
      <c r="BC67" s="1248"/>
      <c r="BE67" s="906">
        <v>2.6</v>
      </c>
      <c r="BF67" s="907" t="s">
        <v>79</v>
      </c>
      <c r="BG67" s="915"/>
      <c r="BH67" s="945"/>
      <c r="BI67" s="948"/>
      <c r="BJ67" s="945"/>
      <c r="BK67" s="1033"/>
      <c r="BL67" s="994"/>
      <c r="BM67" s="1606"/>
      <c r="BN67" s="1625"/>
    </row>
    <row r="68" spans="2:66" s="414" customFormat="1" ht="17.25" thickBot="1" x14ac:dyDescent="0.2">
      <c r="B68" s="415"/>
      <c r="D68" s="415"/>
      <c r="E68" s="888"/>
      <c r="AE68" s="956"/>
      <c r="AL68" s="1348"/>
      <c r="AM68" s="468" t="s">
        <v>163</v>
      </c>
      <c r="AN68" s="1113"/>
      <c r="AO68" s="1221"/>
      <c r="AP68" s="1161"/>
      <c r="AQ68" s="1139">
        <f>海景嘉福汇报报告!G119/10000</f>
        <v>-0.17155827309999999</v>
      </c>
      <c r="AR68" s="1218"/>
      <c r="AS68" s="1219"/>
      <c r="AT68" s="1222"/>
      <c r="AU68" s="1223"/>
      <c r="AV68" s="1224"/>
      <c r="AW68" s="1343">
        <f>海景嘉福汇报报告!M119/10000</f>
        <v>-3.8330842800000105E-2</v>
      </c>
      <c r="AX68" s="1343"/>
      <c r="AY68" s="1343">
        <f>海景嘉福汇报报告!O119/10000</f>
        <v>-3.8330842800000105E-2</v>
      </c>
      <c r="AZ68" s="1344"/>
      <c r="BA68" s="1245"/>
      <c r="BB68" s="1247"/>
      <c r="BC68" s="1248"/>
      <c r="BE68" s="906">
        <v>2.7</v>
      </c>
      <c r="BF68" s="907" t="s">
        <v>86</v>
      </c>
      <c r="BG68" s="915"/>
      <c r="BH68" s="945"/>
      <c r="BI68" s="948"/>
      <c r="BJ68" s="945"/>
      <c r="BK68" s="1033"/>
      <c r="BL68" s="994"/>
      <c r="BM68" s="1606"/>
      <c r="BN68" s="1625"/>
    </row>
    <row r="69" spans="2:66" s="414" customFormat="1" ht="17.25" thickBot="1" x14ac:dyDescent="0.2">
      <c r="B69" s="415"/>
      <c r="D69" s="415"/>
      <c r="E69" s="888"/>
      <c r="AE69" s="956"/>
      <c r="AL69" s="1348"/>
      <c r="AM69" s="468" t="s">
        <v>164</v>
      </c>
      <c r="AN69" s="1113"/>
      <c r="AO69" s="1221"/>
      <c r="AP69" s="1161"/>
      <c r="AQ69" s="1139">
        <f>海景嘉福汇报报告!G120/10000</f>
        <v>-7.3928199999999893E-5</v>
      </c>
      <c r="AR69" s="1218"/>
      <c r="AS69" s="1219"/>
      <c r="AT69" s="1222"/>
      <c r="AU69" s="1223"/>
      <c r="AV69" s="1224"/>
      <c r="AW69" s="1343">
        <f>海景嘉福汇报报告!M120/10000</f>
        <v>-5.8472779999999903E-4</v>
      </c>
      <c r="AX69" s="1343"/>
      <c r="AY69" s="1343">
        <f>海景嘉福汇报报告!O120/10000</f>
        <v>-5.8472779999999903E-4</v>
      </c>
      <c r="AZ69" s="1344"/>
      <c r="BA69" s="1245"/>
      <c r="BB69" s="1247"/>
      <c r="BC69" s="1248"/>
      <c r="BE69" s="906">
        <v>2.8</v>
      </c>
      <c r="BF69" s="907" t="s">
        <v>91</v>
      </c>
      <c r="BG69" s="915"/>
      <c r="BH69" s="945"/>
      <c r="BI69" s="948"/>
      <c r="BJ69" s="945"/>
      <c r="BK69" s="1033"/>
      <c r="BL69" s="994"/>
      <c r="BM69" s="1606"/>
      <c r="BN69" s="1625"/>
    </row>
    <row r="70" spans="2:66" s="414" customFormat="1" ht="17.25" thickBot="1" x14ac:dyDescent="0.2">
      <c r="B70" s="415"/>
      <c r="D70" s="415"/>
      <c r="E70" s="888"/>
      <c r="AE70" s="956"/>
      <c r="AL70" s="1349"/>
      <c r="AM70" s="468" t="s">
        <v>165</v>
      </c>
      <c r="AN70" s="1113"/>
      <c r="AO70" s="1221"/>
      <c r="AP70" s="1161"/>
      <c r="AQ70" s="1139">
        <f>海景嘉福汇报报告!G121/10000</f>
        <v>-3.4600000000000001E-4</v>
      </c>
      <c r="AR70" s="1218"/>
      <c r="AS70" s="1219"/>
      <c r="AT70" s="1222"/>
      <c r="AU70" s="1223"/>
      <c r="AV70" s="1224"/>
      <c r="AW70" s="1343">
        <f>海景嘉福汇报报告!M121/10000</f>
        <v>-1.0579999999999999E-3</v>
      </c>
      <c r="AX70" s="1343"/>
      <c r="AY70" s="1343">
        <f>海景嘉福汇报报告!O121/10000</f>
        <v>-1.0579999999999999E-3</v>
      </c>
      <c r="AZ70" s="1344"/>
      <c r="BA70" s="1245"/>
      <c r="BB70" s="1247"/>
      <c r="BC70" s="1248"/>
      <c r="BE70" s="906">
        <v>2.9</v>
      </c>
      <c r="BF70" s="907" t="s">
        <v>76</v>
      </c>
      <c r="BG70" s="915"/>
      <c r="BH70" s="945">
        <f>BH61</f>
        <v>0.6</v>
      </c>
      <c r="BI70" s="948"/>
      <c r="BJ70" s="945">
        <f>BJ61</f>
        <v>1.2748842965</v>
      </c>
      <c r="BK70" s="1034">
        <v>0</v>
      </c>
      <c r="BL70" s="997">
        <f>BK61</f>
        <v>1.2748842965</v>
      </c>
      <c r="BM70" s="1607" t="s">
        <v>194</v>
      </c>
      <c r="BN70" s="1625"/>
    </row>
    <row r="71" spans="2:66" s="414" customFormat="1" ht="17.25" thickBot="1" x14ac:dyDescent="0.2">
      <c r="B71" s="415"/>
      <c r="D71" s="415"/>
      <c r="E71" s="888"/>
      <c r="AE71" s="956"/>
      <c r="AL71" s="1347" t="s">
        <v>168</v>
      </c>
      <c r="AM71" s="468" t="s">
        <v>169</v>
      </c>
      <c r="AN71" s="1113"/>
      <c r="AO71" s="1227"/>
      <c r="AP71" s="1226"/>
      <c r="AQ71" s="1139">
        <f>海景嘉福汇报报告!G124/10000</f>
        <v>0.79860850569999997</v>
      </c>
      <c r="AR71" s="1218"/>
      <c r="AS71" s="1219"/>
      <c r="AT71" s="1137">
        <f>海景嘉福汇报报告!J124/10000</f>
        <v>0.82693373619908195</v>
      </c>
      <c r="AU71" s="1218"/>
      <c r="AV71" s="1228"/>
      <c r="AW71" s="1343">
        <f>海景嘉福汇报报告!M124/10000</f>
        <v>1.2747100345</v>
      </c>
      <c r="AX71" s="1343"/>
      <c r="AY71" s="1343">
        <f>海景嘉福汇报报告!O124/10000</f>
        <v>1.2747100345</v>
      </c>
      <c r="AZ71" s="1344"/>
      <c r="BA71" s="1245"/>
      <c r="BB71" s="1251">
        <f>海景嘉福汇报报告!R124/10000</f>
        <v>0.82693373619908195</v>
      </c>
      <c r="BC71" s="1218"/>
      <c r="BE71" s="920" t="s">
        <v>83</v>
      </c>
      <c r="BF71" s="921" t="s">
        <v>84</v>
      </c>
      <c r="BG71" s="922"/>
      <c r="BH71" s="1524">
        <f t="shared" ref="BH71" si="4">BH62-BH61</f>
        <v>0.50978000000000001</v>
      </c>
      <c r="BI71" s="924"/>
      <c r="BJ71" s="1525">
        <f t="shared" ref="BJ71:BK71" si="5">BJ62-BJ61</f>
        <v>-0.79723076590205222</v>
      </c>
      <c r="BK71" s="1542">
        <f t="shared" si="5"/>
        <v>-2.0721150624020521</v>
      </c>
      <c r="BL71" s="1541"/>
      <c r="BM71" s="1611"/>
      <c r="BN71" s="1628"/>
    </row>
    <row r="72" spans="2:66" s="414" customFormat="1" ht="27.75" thickBot="1" x14ac:dyDescent="0.2">
      <c r="B72" s="415"/>
      <c r="D72" s="415"/>
      <c r="E72" s="888"/>
      <c r="AE72" s="956"/>
      <c r="AL72" s="1348"/>
      <c r="AM72" s="468" t="s">
        <v>170</v>
      </c>
      <c r="AN72" s="1113"/>
      <c r="AO72" s="1229"/>
      <c r="AP72" s="1230"/>
      <c r="AQ72" s="1139">
        <f>海景嘉福汇报报告!G125/10000</f>
        <v>0.19860850569999999</v>
      </c>
      <c r="AR72" s="1218"/>
      <c r="AS72" s="1219"/>
      <c r="AT72" s="1137">
        <f>海景嘉福汇报报告!J125/10000</f>
        <v>0.82693373619908195</v>
      </c>
      <c r="AU72" s="1218"/>
      <c r="AV72" s="1228"/>
      <c r="AW72" s="1343">
        <f>海景嘉福汇报报告!M125/10000</f>
        <v>0.67488429650000004</v>
      </c>
      <c r="AX72" s="1343"/>
      <c r="AY72" s="1343">
        <f>海景嘉福汇报报告!O125/10000</f>
        <v>0.67488429650000004</v>
      </c>
      <c r="AZ72" s="1344"/>
      <c r="BA72" s="1245"/>
      <c r="BB72" s="1251">
        <f>海景嘉福汇报报告!R125/10000</f>
        <v>0.82693373619908195</v>
      </c>
      <c r="BC72" s="1218"/>
      <c r="BN72" s="1586"/>
    </row>
    <row r="73" spans="2:66" s="414" customFormat="1" ht="17.25" thickBot="1" x14ac:dyDescent="0.2">
      <c r="B73" s="415"/>
      <c r="D73" s="415"/>
      <c r="E73" s="888"/>
      <c r="AE73" s="956"/>
      <c r="AL73" s="1348"/>
      <c r="AM73" s="468" t="s">
        <v>171</v>
      </c>
      <c r="AN73" s="1113"/>
      <c r="AO73" s="1227"/>
      <c r="AP73" s="1226"/>
      <c r="AQ73" s="1139">
        <f>海景嘉福汇报报告!G126/10000</f>
        <v>0.19860850569999999</v>
      </c>
      <c r="AR73" s="1218"/>
      <c r="AS73" s="1219" t="str">
        <f>海景嘉福汇报报告!I126</f>
        <v>亏损经营方调入</v>
      </c>
      <c r="AT73" s="1137">
        <f>海景嘉福汇报报告!J126/10000</f>
        <v>0.82693373619908195</v>
      </c>
      <c r="AU73" s="1223"/>
      <c r="AV73" s="1224"/>
      <c r="AW73" s="1343">
        <f>海景嘉福汇报报告!M126/10000</f>
        <v>0.67488429650000004</v>
      </c>
      <c r="AX73" s="1343"/>
      <c r="AY73" s="1343">
        <f>海景嘉福汇报报告!O126/10000</f>
        <v>0.67488429650000004</v>
      </c>
      <c r="AZ73" s="1344"/>
      <c r="BA73" s="1245"/>
      <c r="BB73" s="1251">
        <f>海景嘉福汇报报告!R126/10000</f>
        <v>0.82693373619908195</v>
      </c>
      <c r="BC73" s="1248"/>
    </row>
    <row r="74" spans="2:66" s="414" customFormat="1" ht="17.25" thickBot="1" x14ac:dyDescent="0.2">
      <c r="B74" s="415"/>
      <c r="D74" s="415"/>
      <c r="E74" s="888"/>
      <c r="AE74" s="956"/>
      <c r="AL74" s="1348"/>
      <c r="AM74" s="468" t="s">
        <v>172</v>
      </c>
      <c r="AN74" s="1113"/>
      <c r="AO74" s="1227"/>
      <c r="AP74" s="1226"/>
      <c r="AQ74" s="1139">
        <f>海景嘉福汇报报告!G127/10000</f>
        <v>0</v>
      </c>
      <c r="AR74" s="1218"/>
      <c r="AS74" s="1219"/>
      <c r="AT74" s="1222"/>
      <c r="AU74" s="1223"/>
      <c r="AV74" s="1224"/>
      <c r="AW74" s="1343" t="e">
        <f>海景嘉福汇报报告!M127/10000</f>
        <v>#REF!</v>
      </c>
      <c r="AX74" s="1343"/>
      <c r="AY74" s="1343" t="e">
        <f>海景嘉福汇报报告!O127/10000</f>
        <v>#REF!</v>
      </c>
      <c r="AZ74" s="1344"/>
      <c r="BA74" s="1245"/>
      <c r="BB74" s="1247"/>
      <c r="BC74" s="1248"/>
    </row>
    <row r="75" spans="2:66" s="414" customFormat="1" ht="17.25" thickBot="1" x14ac:dyDescent="0.2">
      <c r="B75" s="415"/>
      <c r="D75" s="415"/>
      <c r="E75" s="888"/>
      <c r="AE75" s="956"/>
      <c r="AL75" s="1348"/>
      <c r="AM75" s="468" t="s">
        <v>108</v>
      </c>
      <c r="AN75" s="1113"/>
      <c r="AO75" s="1229"/>
      <c r="AP75" s="1230"/>
      <c r="AQ75" s="1139">
        <f>海景嘉福汇报报告!G128/10000</f>
        <v>0.6</v>
      </c>
      <c r="AR75" s="1218"/>
      <c r="AS75" s="1219"/>
      <c r="AT75" s="1222"/>
      <c r="AU75" s="1223"/>
      <c r="AV75" s="1224"/>
      <c r="AW75" s="1343">
        <f>海景嘉福汇报报告!M128/10000</f>
        <v>0.59982573800000005</v>
      </c>
      <c r="AX75" s="1343"/>
      <c r="AY75" s="1343">
        <f>海景嘉福汇报报告!O128/10000</f>
        <v>0.59982573800000005</v>
      </c>
      <c r="AZ75" s="1344"/>
      <c r="BA75" s="1245"/>
      <c r="BB75" s="1247"/>
      <c r="BC75" s="1248"/>
    </row>
    <row r="76" spans="2:66" s="414" customFormat="1" ht="17.25" thickBot="1" x14ac:dyDescent="0.2">
      <c r="B76" s="415"/>
      <c r="D76" s="415"/>
      <c r="E76" s="888"/>
      <c r="AE76" s="956"/>
      <c r="AL76" s="1348"/>
      <c r="AM76" s="468" t="s">
        <v>173</v>
      </c>
      <c r="AN76" s="1113"/>
      <c r="AO76" s="1227"/>
      <c r="AP76" s="1226"/>
      <c r="AQ76" s="1139">
        <f>海景嘉福汇报报告!G129/10000</f>
        <v>0.6</v>
      </c>
      <c r="AR76" s="1218"/>
      <c r="AS76" s="1219"/>
      <c r="AT76" s="1222"/>
      <c r="AU76" s="1223"/>
      <c r="AV76" s="1224"/>
      <c r="AW76" s="1343">
        <f>海景嘉福汇报报告!M129/10000</f>
        <v>0.6</v>
      </c>
      <c r="AX76" s="1343"/>
      <c r="AY76" s="1343">
        <f>海景嘉福汇报报告!O129/10000</f>
        <v>0.6</v>
      </c>
      <c r="AZ76" s="1344"/>
      <c r="BA76" s="1245"/>
      <c r="BB76" s="1247"/>
      <c r="BC76" s="1248"/>
    </row>
    <row r="77" spans="2:66" s="414" customFormat="1" ht="27.75" thickBot="1" x14ac:dyDescent="0.2">
      <c r="B77" s="415"/>
      <c r="D77" s="415"/>
      <c r="E77" s="888"/>
      <c r="AE77" s="956"/>
      <c r="AL77" s="1349"/>
      <c r="AM77" s="468" t="s">
        <v>174</v>
      </c>
      <c r="AN77" s="1113"/>
      <c r="AO77" s="1227"/>
      <c r="AP77" s="1226"/>
      <c r="AQ77" s="1139">
        <f>海景嘉福汇报报告!G130/10000</f>
        <v>0</v>
      </c>
      <c r="AR77" s="1218"/>
      <c r="AS77" s="1219"/>
      <c r="AT77" s="1222"/>
      <c r="AU77" s="1223"/>
      <c r="AV77" s="1224"/>
      <c r="AW77" s="1343">
        <f>海景嘉福汇报报告!M130/10000</f>
        <v>-1.74261999999999E-4</v>
      </c>
      <c r="AX77" s="1343"/>
      <c r="AY77" s="1343">
        <f>海景嘉福汇报报告!O130/10000</f>
        <v>-1.74261999999999E-4</v>
      </c>
      <c r="AZ77" s="1344"/>
      <c r="BA77" s="1245"/>
      <c r="BB77" s="1247"/>
      <c r="BC77" s="1248"/>
    </row>
    <row r="78" spans="2:66" s="414" customFormat="1" ht="17.25" thickBot="1" x14ac:dyDescent="0.2">
      <c r="B78" s="415"/>
      <c r="D78" s="415"/>
      <c r="E78" s="888"/>
      <c r="AE78" s="956"/>
      <c r="AL78" s="1347" t="s">
        <v>175</v>
      </c>
      <c r="AM78" s="468" t="s">
        <v>109</v>
      </c>
      <c r="AN78" s="1113"/>
      <c r="AO78" s="1229"/>
      <c r="AP78" s="1230"/>
      <c r="AQ78" s="1139">
        <f>海景嘉福汇报报告!G131/10000</f>
        <v>3.44</v>
      </c>
      <c r="AR78" s="1218"/>
      <c r="AS78" s="1219"/>
      <c r="AT78" s="1222"/>
      <c r="AU78" s="1223"/>
      <c r="AV78" s="1224"/>
      <c r="AW78" s="1343">
        <f>海景嘉福汇报报告!M131/10000</f>
        <v>3.26</v>
      </c>
      <c r="AX78" s="1343"/>
      <c r="AY78" s="1343">
        <f>海景嘉福汇报报告!O131/10000</f>
        <v>3.26</v>
      </c>
      <c r="AZ78" s="1344"/>
      <c r="BA78" s="1245"/>
      <c r="BB78" s="1247"/>
      <c r="BC78" s="1248"/>
    </row>
    <row r="79" spans="2:66" s="414" customFormat="1" ht="17.25" thickBot="1" x14ac:dyDescent="0.2">
      <c r="B79" s="415"/>
      <c r="D79" s="415"/>
      <c r="E79" s="888"/>
      <c r="AE79" s="956"/>
      <c r="AL79" s="1348"/>
      <c r="AM79" s="468" t="s">
        <v>110</v>
      </c>
      <c r="AN79" s="1113"/>
      <c r="AO79" s="1227"/>
      <c r="AP79" s="1226"/>
      <c r="AQ79" s="1139">
        <f>海景嘉福汇报报告!G132/10000</f>
        <v>3.5</v>
      </c>
      <c r="AR79" s="1218"/>
      <c r="AS79" s="1219"/>
      <c r="AT79" s="1222"/>
      <c r="AU79" s="1223"/>
      <c r="AV79" s="1224"/>
      <c r="AW79" s="1343">
        <f>海景嘉福汇报报告!M132/10000</f>
        <v>3.5</v>
      </c>
      <c r="AX79" s="1343"/>
      <c r="AY79" s="1343">
        <f>海景嘉福汇报报告!O132/10000</f>
        <v>3.5</v>
      </c>
      <c r="AZ79" s="1344"/>
      <c r="BA79" s="1245"/>
      <c r="BB79" s="1247"/>
      <c r="BC79" s="1248"/>
    </row>
    <row r="80" spans="2:66" s="414" customFormat="1" ht="17.25" thickBot="1" x14ac:dyDescent="0.2">
      <c r="B80" s="415"/>
      <c r="D80" s="415"/>
      <c r="E80" s="888"/>
      <c r="AE80" s="956"/>
      <c r="AL80" s="1349"/>
      <c r="AM80" s="468" t="s">
        <v>111</v>
      </c>
      <c r="AN80" s="1113"/>
      <c r="AO80" s="1227"/>
      <c r="AP80" s="1226"/>
      <c r="AQ80" s="1139">
        <f>海景嘉福汇报报告!G133/10000</f>
        <v>0.06</v>
      </c>
      <c r="AR80" s="1218"/>
      <c r="AS80" s="1219"/>
      <c r="AT80" s="1222"/>
      <c r="AU80" s="1223"/>
      <c r="AV80" s="1224"/>
      <c r="AW80" s="1343">
        <f>海景嘉福汇报报告!M133/10000</f>
        <v>0.24</v>
      </c>
      <c r="AX80" s="1343"/>
      <c r="AY80" s="1343">
        <f>海景嘉福汇报报告!O133/10000</f>
        <v>0.24</v>
      </c>
      <c r="AZ80" s="1344"/>
      <c r="BA80" s="1245"/>
      <c r="BB80" s="1247"/>
      <c r="BC80" s="1248"/>
    </row>
    <row r="81" spans="2:55" s="414" customFormat="1" ht="17.25" thickBot="1" x14ac:dyDescent="0.2">
      <c r="B81" s="415"/>
      <c r="D81" s="415"/>
      <c r="E81" s="888"/>
      <c r="AE81" s="956"/>
      <c r="AL81" s="467" t="s">
        <v>176</v>
      </c>
      <c r="AM81" s="468" t="s">
        <v>177</v>
      </c>
      <c r="AN81" s="1113"/>
      <c r="AO81" s="1227"/>
      <c r="AP81" s="1226"/>
      <c r="AQ81" s="1139">
        <f>海景嘉福汇报报告!G134/10000</f>
        <v>-2.4906848000000002E-3</v>
      </c>
      <c r="AR81" s="1218"/>
      <c r="AS81" s="1219"/>
      <c r="AT81" s="1222"/>
      <c r="AU81" s="1223"/>
      <c r="AV81" s="1224"/>
      <c r="AW81" s="1343">
        <f>海景嘉福汇报报告!M134/10000</f>
        <v>-3.5824325999999997E-3</v>
      </c>
      <c r="AX81" s="1343"/>
      <c r="AY81" s="1343">
        <f>海景嘉福汇报报告!O134/10000</f>
        <v>-3.5824325999999997E-3</v>
      </c>
      <c r="AZ81" s="1344"/>
      <c r="BA81" s="1245"/>
      <c r="BB81" s="1247"/>
      <c r="BC81" s="1248"/>
    </row>
    <row r="82" spans="2:55" s="414" customFormat="1" ht="17.25" thickBot="1" x14ac:dyDescent="0.2">
      <c r="B82" s="415"/>
      <c r="D82" s="415"/>
      <c r="E82" s="888"/>
      <c r="AE82" s="956"/>
      <c r="AL82" s="1368" t="s">
        <v>178</v>
      </c>
      <c r="AM82" s="1369"/>
      <c r="AN82" s="1103"/>
      <c r="AO82" s="1231"/>
      <c r="AP82" s="1232"/>
      <c r="AQ82" s="1233">
        <f>海景嘉福汇报报告!G135/10000</f>
        <v>4.1708062832000001</v>
      </c>
      <c r="AR82" s="1234">
        <f>海景嘉福汇报报告!H135/10000</f>
        <v>0</v>
      </c>
      <c r="AS82" s="1235"/>
      <c r="AT82" s="1231"/>
      <c r="AU82" s="1232"/>
      <c r="AV82" s="1236"/>
      <c r="AW82" s="1370">
        <f>海景嘉福汇报报告!M135/10000</f>
        <v>4.3345500106267396</v>
      </c>
      <c r="AX82" s="1370"/>
      <c r="AY82" s="1370">
        <f>海景嘉福汇报报告!O135/10000</f>
        <v>4.3470645228000002</v>
      </c>
      <c r="AZ82" s="1371"/>
      <c r="BA82" s="1252"/>
      <c r="BB82" s="1253"/>
      <c r="BC82" s="1254"/>
    </row>
    <row r="83" spans="2:55" s="414" customFormat="1" ht="17.25" thickBot="1" x14ac:dyDescent="0.2">
      <c r="B83" s="415"/>
      <c r="D83" s="415"/>
      <c r="E83" s="888"/>
      <c r="AE83" s="956"/>
      <c r="AL83" s="1368" t="s">
        <v>179</v>
      </c>
      <c r="AM83" s="1369"/>
      <c r="AN83" s="1103"/>
      <c r="AO83" s="1231"/>
      <c r="AP83" s="1232"/>
      <c r="AQ83" s="1233">
        <f>海景嘉福汇报报告!G136/10000</f>
        <v>3.8114295789000003</v>
      </c>
      <c r="AR83" s="1234">
        <f>海景嘉福汇报报告!H136/10000</f>
        <v>0</v>
      </c>
      <c r="AS83" s="1235"/>
      <c r="AT83" s="1231"/>
      <c r="AU83" s="1232"/>
      <c r="AV83" s="1236"/>
      <c r="AW83" s="1370">
        <f>海景嘉福汇报报告!M136/10000</f>
        <v>3.9765894068000001</v>
      </c>
      <c r="AX83" s="1370"/>
      <c r="AY83" s="1370">
        <f>海景嘉福汇报报告!O136/10000</f>
        <v>3.9900894068000001</v>
      </c>
      <c r="AZ83" s="1371"/>
      <c r="BA83" s="1252"/>
      <c r="BB83" s="1253"/>
      <c r="BC83" s="1254"/>
    </row>
    <row r="84" spans="2:55" s="414" customFormat="1" ht="17.25" thickBot="1" x14ac:dyDescent="0.2">
      <c r="B84" s="415"/>
      <c r="D84" s="415"/>
      <c r="E84" s="888"/>
      <c r="AE84" s="956"/>
      <c r="AL84" s="1372" t="s">
        <v>180</v>
      </c>
      <c r="AM84" s="1373"/>
      <c r="AN84" s="1213"/>
      <c r="AO84" s="1237"/>
      <c r="AP84" s="1238"/>
      <c r="AQ84" s="1239">
        <f>AQ83/AQ82*100%</f>
        <v>0.91383519638695077</v>
      </c>
      <c r="AR84" s="1240"/>
      <c r="AS84" s="1241"/>
      <c r="AT84" s="1237"/>
      <c r="AU84" s="1238"/>
      <c r="AV84" s="1242"/>
      <c r="AW84" s="1345">
        <f>AW83/AW82*100%</f>
        <v>0.91741689380693492</v>
      </c>
      <c r="AX84" s="1345"/>
      <c r="AY84" s="1345">
        <f>AY83/AY82*100%</f>
        <v>0.91788133943545247</v>
      </c>
      <c r="AZ84" s="1346"/>
      <c r="BA84" s="1255"/>
      <c r="BB84" s="1256"/>
      <c r="BC84" s="1257"/>
    </row>
    <row r="85" spans="2:55" s="414" customFormat="1" ht="17.25" thickBot="1" x14ac:dyDescent="0.2">
      <c r="B85" s="415"/>
      <c r="D85" s="415"/>
      <c r="E85" s="888"/>
      <c r="AE85" s="956"/>
      <c r="AL85" s="1356" t="s">
        <v>642</v>
      </c>
      <c r="AM85" s="1357"/>
      <c r="AN85" s="1357"/>
      <c r="AO85" s="1357"/>
      <c r="AP85" s="1357"/>
      <c r="AQ85" s="1357"/>
      <c r="AR85" s="1357"/>
      <c r="AS85" s="1357"/>
      <c r="AT85" s="1357"/>
      <c r="AU85" s="1357"/>
      <c r="AV85" s="1357"/>
      <c r="AW85" s="1357"/>
      <c r="AX85" s="1357"/>
      <c r="AY85" s="1357"/>
      <c r="AZ85" s="1357"/>
      <c r="BA85" s="1357"/>
      <c r="BB85" s="1357"/>
      <c r="BC85" s="1358"/>
    </row>
    <row r="86" spans="2:55" s="414" customFormat="1" x14ac:dyDescent="0.15">
      <c r="B86" s="415"/>
      <c r="D86" s="415"/>
      <c r="E86" s="888"/>
      <c r="AE86" s="956"/>
      <c r="AL86" s="1005"/>
      <c r="AM86" s="1214"/>
      <c r="AN86" s="1214"/>
      <c r="AO86" s="1243"/>
      <c r="AP86" s="1243"/>
      <c r="AQ86" s="1243"/>
      <c r="AR86" s="1244"/>
      <c r="AS86" s="1100"/>
      <c r="AT86" s="1100"/>
      <c r="AU86" s="1100"/>
      <c r="AV86" s="1100"/>
      <c r="AW86" s="1100"/>
      <c r="AX86" s="1100"/>
      <c r="AY86" s="1100"/>
      <c r="AZ86" s="1100"/>
      <c r="BA86" s="1100"/>
      <c r="BB86" s="1100"/>
      <c r="BC86" s="1100"/>
    </row>
    <row r="87" spans="2:55" s="414" customFormat="1" x14ac:dyDescent="0.15">
      <c r="B87" s="415"/>
      <c r="D87" s="415"/>
      <c r="E87" s="888"/>
      <c r="AE87" s="956"/>
      <c r="AL87" s="1214"/>
      <c r="AM87" s="1214"/>
      <c r="AN87" s="1214"/>
      <c r="AO87" s="1243"/>
      <c r="AP87" s="1243"/>
      <c r="AQ87" s="1243"/>
      <c r="AR87" s="1244"/>
      <c r="AS87" s="1100"/>
      <c r="AT87" s="1100"/>
      <c r="AU87" s="1100"/>
      <c r="AV87" s="1100"/>
      <c r="AW87" s="1100"/>
      <c r="AX87" s="1100"/>
      <c r="AY87" s="1100"/>
      <c r="AZ87" s="1100"/>
      <c r="BA87" s="1100"/>
      <c r="BB87" s="1100"/>
      <c r="BC87" s="1100"/>
    </row>
    <row r="88" spans="2:55" s="414" customFormat="1" x14ac:dyDescent="0.15">
      <c r="B88" s="415"/>
      <c r="D88" s="415"/>
      <c r="E88" s="888"/>
      <c r="AE88" s="956"/>
      <c r="AL88" s="1214"/>
      <c r="AM88" s="1214"/>
      <c r="AN88" s="1214"/>
      <c r="AO88" s="1243"/>
      <c r="AP88" s="1243"/>
      <c r="AQ88" s="1243"/>
      <c r="AR88" s="1244"/>
      <c r="AS88" s="1100"/>
      <c r="AT88" s="1100"/>
      <c r="AU88" s="1100"/>
      <c r="AV88" s="1100"/>
      <c r="AW88" s="1100"/>
      <c r="AX88" s="1100"/>
      <c r="AY88" s="1100"/>
      <c r="AZ88" s="1100"/>
      <c r="BA88" s="1100"/>
      <c r="BB88" s="1100"/>
      <c r="BC88" s="1100"/>
    </row>
    <row r="89" spans="2:55" s="414" customFormat="1" x14ac:dyDescent="0.15">
      <c r="B89" s="415"/>
      <c r="D89" s="415"/>
      <c r="E89" s="888"/>
      <c r="AE89" s="956"/>
      <c r="AL89" s="1214"/>
      <c r="AM89" s="1214"/>
      <c r="AN89" s="1214"/>
      <c r="AO89" s="1243"/>
      <c r="AP89" s="1243"/>
      <c r="AQ89" s="1243"/>
      <c r="AR89" s="1244"/>
      <c r="AS89" s="1100"/>
      <c r="AT89" s="1100"/>
      <c r="AU89" s="1100"/>
      <c r="AV89" s="1100"/>
      <c r="AW89" s="1100"/>
      <c r="AX89" s="1100"/>
      <c r="AY89" s="1100"/>
      <c r="AZ89" s="1100"/>
      <c r="BA89" s="1100"/>
      <c r="BB89" s="1100"/>
      <c r="BC89" s="1100"/>
    </row>
    <row r="90" spans="2:55" s="414" customFormat="1" x14ac:dyDescent="0.15">
      <c r="B90" s="415"/>
      <c r="D90" s="415"/>
      <c r="E90" s="888"/>
      <c r="AE90" s="956"/>
      <c r="AL90" s="1214"/>
      <c r="AM90" s="1214"/>
      <c r="AN90" s="1214"/>
      <c r="AO90" s="1243"/>
      <c r="AP90" s="1243"/>
      <c r="AQ90" s="1243"/>
      <c r="AR90" s="1244"/>
      <c r="AS90" s="1100"/>
      <c r="AT90" s="1100"/>
      <c r="AU90" s="1100"/>
      <c r="AV90" s="1100"/>
      <c r="AW90" s="1100"/>
      <c r="AX90" s="1100"/>
      <c r="AY90" s="1100"/>
      <c r="AZ90" s="1100"/>
      <c r="BA90" s="1100"/>
      <c r="BB90" s="1100"/>
      <c r="BC90" s="1100"/>
    </row>
    <row r="91" spans="2:55" s="414" customFormat="1" x14ac:dyDescent="0.15">
      <c r="B91" s="415"/>
      <c r="D91" s="415"/>
      <c r="E91" s="888"/>
      <c r="AE91" s="956"/>
      <c r="AL91" s="1214"/>
      <c r="AM91" s="1214"/>
      <c r="AN91" s="1214"/>
      <c r="AO91" s="1243"/>
      <c r="AP91" s="1243"/>
      <c r="AQ91" s="1243"/>
      <c r="AR91" s="1244"/>
      <c r="AS91" s="1100"/>
      <c r="AT91" s="1100"/>
      <c r="AU91" s="1100"/>
      <c r="AV91" s="1100"/>
      <c r="AW91" s="1100"/>
      <c r="AX91" s="1100"/>
      <c r="AY91" s="1100"/>
      <c r="AZ91" s="1100"/>
      <c r="BA91" s="1100"/>
      <c r="BB91" s="1100"/>
      <c r="BC91" s="1100"/>
    </row>
    <row r="92" spans="2:55" s="414" customFormat="1" x14ac:dyDescent="0.15">
      <c r="B92" s="415"/>
      <c r="D92" s="415"/>
      <c r="E92" s="888"/>
      <c r="AE92" s="956"/>
      <c r="AL92" s="1214"/>
      <c r="AM92" s="1214"/>
      <c r="AN92" s="1214"/>
      <c r="AO92" s="1243"/>
      <c r="AP92" s="1243"/>
      <c r="AQ92" s="1243"/>
      <c r="AR92" s="1244"/>
      <c r="AS92" s="1100"/>
      <c r="AT92" s="1100"/>
      <c r="AU92" s="1100"/>
      <c r="AV92" s="1100"/>
      <c r="AW92" s="1100"/>
      <c r="AX92" s="1100"/>
      <c r="AY92" s="1100"/>
      <c r="AZ92" s="1100"/>
      <c r="BA92" s="1100"/>
      <c r="BB92" s="1100"/>
      <c r="BC92" s="1100"/>
    </row>
    <row r="93" spans="2:55" s="414" customFormat="1" x14ac:dyDescent="0.15">
      <c r="B93" s="415"/>
      <c r="D93" s="415"/>
      <c r="E93" s="888"/>
      <c r="AE93" s="956"/>
      <c r="AL93" s="1214"/>
      <c r="AM93" s="1214"/>
      <c r="AN93" s="1214"/>
      <c r="AO93" s="1243"/>
      <c r="AP93" s="1243"/>
      <c r="AQ93" s="1243"/>
      <c r="AR93" s="1244"/>
      <c r="AS93" s="1100"/>
      <c r="AT93" s="1100"/>
      <c r="AU93" s="1100"/>
      <c r="AV93" s="1100"/>
      <c r="AW93" s="1100"/>
      <c r="AX93" s="1100"/>
      <c r="AY93" s="1100"/>
      <c r="AZ93" s="1100"/>
      <c r="BA93" s="1100"/>
      <c r="BB93" s="1100"/>
      <c r="BC93" s="1100"/>
    </row>
    <row r="94" spans="2:55" s="414" customFormat="1" x14ac:dyDescent="0.15">
      <c r="B94" s="415"/>
      <c r="D94" s="415"/>
      <c r="E94" s="888"/>
      <c r="AE94" s="956"/>
      <c r="AL94" s="1214"/>
      <c r="AM94" s="1214"/>
      <c r="AN94" s="1214"/>
      <c r="AO94" s="1243"/>
      <c r="AP94" s="1243"/>
      <c r="AQ94" s="1243"/>
      <c r="AR94" s="1244"/>
      <c r="AS94" s="1100"/>
      <c r="AT94" s="1100"/>
      <c r="AU94" s="1100"/>
      <c r="AV94" s="1100"/>
      <c r="AW94" s="1100"/>
      <c r="AX94" s="1100"/>
      <c r="AY94" s="1100"/>
      <c r="AZ94" s="1100"/>
      <c r="BA94" s="1100"/>
      <c r="BB94" s="1100"/>
      <c r="BC94" s="1100"/>
    </row>
    <row r="95" spans="2:55" s="414" customFormat="1" x14ac:dyDescent="0.15">
      <c r="B95" s="415"/>
      <c r="D95" s="415"/>
      <c r="E95" s="888"/>
      <c r="AE95" s="956"/>
      <c r="AL95" s="1214"/>
      <c r="AM95" s="1214"/>
      <c r="AN95" s="1214"/>
      <c r="AO95" s="1243"/>
      <c r="AP95" s="1243"/>
      <c r="AQ95" s="1243"/>
      <c r="AR95" s="1244"/>
      <c r="AS95" s="1100"/>
      <c r="AT95" s="1100"/>
      <c r="AU95" s="1100"/>
      <c r="AV95" s="1100"/>
      <c r="AW95" s="1100"/>
      <c r="AX95" s="1100"/>
      <c r="AY95" s="1100"/>
      <c r="AZ95" s="1100"/>
      <c r="BA95" s="1100"/>
      <c r="BB95" s="1100"/>
      <c r="BC95" s="1100"/>
    </row>
    <row r="96" spans="2:55" s="414" customFormat="1" x14ac:dyDescent="0.15">
      <c r="B96" s="415"/>
      <c r="D96" s="415"/>
      <c r="E96" s="888"/>
      <c r="AE96" s="956"/>
      <c r="AL96" s="1214"/>
      <c r="AM96" s="1214"/>
      <c r="AN96" s="1214"/>
      <c r="AO96" s="1243"/>
      <c r="AP96" s="1243"/>
      <c r="AQ96" s="1243"/>
      <c r="AR96" s="1244"/>
      <c r="AS96" s="1100"/>
      <c r="AT96" s="1100"/>
      <c r="AU96" s="1100"/>
      <c r="AV96" s="1100"/>
      <c r="AW96" s="1100"/>
      <c r="AX96" s="1100"/>
      <c r="AY96" s="1100"/>
      <c r="AZ96" s="1100"/>
      <c r="BA96" s="1100"/>
      <c r="BB96" s="1100"/>
      <c r="BC96" s="1100"/>
    </row>
    <row r="97" spans="2:80" s="414" customFormat="1" x14ac:dyDescent="0.15">
      <c r="B97" s="415"/>
      <c r="D97" s="415"/>
      <c r="E97" s="888"/>
      <c r="AE97" s="956"/>
      <c r="AL97" s="1214"/>
      <c r="AM97" s="1214"/>
      <c r="AN97" s="1214"/>
      <c r="AO97" s="1243"/>
      <c r="AP97" s="1243"/>
      <c r="AQ97" s="1243"/>
      <c r="AR97" s="1244"/>
      <c r="AS97" s="1100"/>
      <c r="AT97" s="1100"/>
      <c r="AU97" s="1100"/>
      <c r="AV97" s="1100"/>
      <c r="AW97" s="1100"/>
      <c r="AX97" s="1100"/>
      <c r="AY97" s="1100"/>
      <c r="AZ97" s="1100"/>
      <c r="BA97" s="1100"/>
      <c r="BB97" s="1100"/>
      <c r="BC97" s="1100"/>
    </row>
    <row r="98" spans="2:80" s="414" customFormat="1" x14ac:dyDescent="0.15">
      <c r="B98" s="415"/>
      <c r="D98" s="415"/>
      <c r="E98" s="888"/>
      <c r="AE98" s="956"/>
      <c r="AL98" s="1214"/>
      <c r="AM98" s="1214"/>
      <c r="AN98" s="1214"/>
      <c r="AO98" s="1243"/>
      <c r="AP98" s="1243"/>
      <c r="AQ98" s="1243"/>
      <c r="AR98" s="1244"/>
      <c r="AS98" s="1100"/>
      <c r="AT98" s="1100"/>
      <c r="AU98" s="1100"/>
      <c r="AV98" s="1100"/>
      <c r="AW98" s="1100"/>
      <c r="AX98" s="1100"/>
      <c r="AY98" s="1100"/>
      <c r="AZ98" s="1100"/>
      <c r="BA98" s="1100"/>
      <c r="BB98" s="1100"/>
      <c r="BC98" s="1100"/>
    </row>
    <row r="99" spans="2:80" s="414" customFormat="1" x14ac:dyDescent="0.15">
      <c r="B99" s="415"/>
      <c r="D99" s="415"/>
      <c r="E99" s="888"/>
      <c r="AE99" s="956"/>
      <c r="AL99" s="1214"/>
      <c r="AM99" s="1214"/>
      <c r="AN99" s="1214"/>
      <c r="AO99" s="1243"/>
      <c r="AP99" s="1243"/>
      <c r="AQ99" s="1243"/>
      <c r="AR99" s="1244"/>
      <c r="AS99" s="1100"/>
      <c r="AT99" s="1100"/>
      <c r="AU99" s="1100"/>
      <c r="AV99" s="1100"/>
      <c r="AW99" s="1100"/>
      <c r="AX99" s="1100"/>
      <c r="AY99" s="1100"/>
      <c r="AZ99" s="1100"/>
      <c r="BA99" s="1100"/>
      <c r="BB99" s="1100"/>
      <c r="BC99" s="1100"/>
    </row>
    <row r="100" spans="2:80" s="414" customFormat="1" x14ac:dyDescent="0.15">
      <c r="B100" s="415"/>
      <c r="D100" s="415"/>
      <c r="E100" s="888"/>
      <c r="AE100" s="956"/>
      <c r="AL100" s="1214"/>
      <c r="AM100" s="1214"/>
      <c r="AN100" s="1214"/>
      <c r="AO100" s="1243"/>
      <c r="AP100" s="1243"/>
      <c r="AQ100" s="1243"/>
      <c r="AR100" s="1244"/>
      <c r="AS100" s="1100"/>
      <c r="AT100" s="1100"/>
      <c r="AU100" s="1100"/>
      <c r="AV100" s="1100"/>
      <c r="AW100" s="1100"/>
      <c r="AX100" s="1100"/>
      <c r="AY100" s="1100"/>
      <c r="AZ100" s="1100"/>
      <c r="BA100" s="1100"/>
      <c r="BB100" s="1100"/>
      <c r="BC100" s="1100"/>
    </row>
    <row r="101" spans="2:80" s="414" customFormat="1" ht="44.1" customHeight="1" x14ac:dyDescent="0.15">
      <c r="B101" s="415"/>
      <c r="D101" s="415"/>
      <c r="E101" s="888"/>
      <c r="AE101" s="956"/>
      <c r="AL101" s="1214"/>
      <c r="AM101" s="1214"/>
      <c r="AN101" s="1214"/>
      <c r="AO101" s="1243"/>
      <c r="AP101" s="1243"/>
      <c r="AQ101" s="1243"/>
      <c r="AR101" s="1244"/>
      <c r="AS101" s="1100"/>
      <c r="AT101" s="1100"/>
      <c r="AU101" s="1100"/>
      <c r="AV101" s="1100"/>
      <c r="AW101" s="1100"/>
      <c r="AX101" s="1100"/>
      <c r="AY101" s="1100"/>
      <c r="AZ101" s="1100"/>
      <c r="BA101" s="1100"/>
      <c r="BB101" s="1100"/>
      <c r="BC101" s="1100"/>
    </row>
    <row r="102" spans="2:80" s="414" customFormat="1" x14ac:dyDescent="0.15">
      <c r="B102" s="415"/>
      <c r="D102" s="415"/>
      <c r="E102" s="888"/>
      <c r="AE102" s="956"/>
      <c r="AL102" s="1214"/>
      <c r="AM102" s="1214"/>
      <c r="AN102" s="1214"/>
      <c r="AO102" s="1243"/>
      <c r="AP102" s="1243"/>
      <c r="AQ102" s="1243"/>
      <c r="AR102" s="1244"/>
      <c r="AS102" s="1100"/>
      <c r="AT102" s="1100"/>
      <c r="AU102" s="1100"/>
      <c r="AV102" s="1100"/>
      <c r="AW102" s="1100"/>
      <c r="AX102" s="1100"/>
      <c r="AY102" s="1100"/>
      <c r="AZ102" s="1100"/>
      <c r="BA102" s="1100"/>
      <c r="BB102" s="1100"/>
      <c r="BC102" s="1100"/>
    </row>
    <row r="103" spans="2:80" s="414" customFormat="1" x14ac:dyDescent="0.15">
      <c r="B103" s="415"/>
      <c r="D103" s="415"/>
      <c r="E103" s="888"/>
      <c r="AE103" s="956"/>
      <c r="AL103" s="1214"/>
      <c r="AM103" s="1214"/>
      <c r="AN103" s="1214"/>
      <c r="AO103" s="1243"/>
      <c r="AP103" s="1243"/>
      <c r="AQ103" s="1243"/>
      <c r="AR103" s="1244"/>
      <c r="AS103" s="1100"/>
      <c r="AT103" s="1100"/>
      <c r="AU103" s="1100"/>
      <c r="AV103" s="1100"/>
      <c r="AW103" s="1100"/>
      <c r="AX103" s="1100"/>
      <c r="AY103" s="1100"/>
      <c r="AZ103" s="1100"/>
      <c r="BA103" s="1100"/>
      <c r="BB103" s="1100"/>
      <c r="BC103" s="1100"/>
    </row>
    <row r="104" spans="2:80" s="414" customFormat="1" x14ac:dyDescent="0.15">
      <c r="B104" s="415"/>
      <c r="D104" s="415"/>
      <c r="E104" s="888"/>
      <c r="AE104" s="956"/>
      <c r="AL104" s="1214"/>
      <c r="AM104" s="1214"/>
      <c r="AN104" s="1214"/>
      <c r="AO104" s="1243"/>
      <c r="AP104" s="1243"/>
      <c r="AQ104" s="1243"/>
      <c r="AR104" s="1244"/>
      <c r="AS104" s="1100"/>
      <c r="AT104" s="1100"/>
      <c r="AU104" s="1100"/>
      <c r="AV104" s="1100"/>
      <c r="AW104" s="1100"/>
      <c r="AX104" s="1100"/>
      <c r="AY104" s="1100"/>
      <c r="AZ104" s="1100"/>
      <c r="BA104" s="1100"/>
      <c r="BB104" s="1100"/>
      <c r="BC104" s="1100"/>
    </row>
    <row r="105" spans="2:80" s="414" customFormat="1" x14ac:dyDescent="0.15">
      <c r="B105" s="415"/>
      <c r="D105" s="415"/>
      <c r="E105" s="888"/>
      <c r="AE105" s="956"/>
      <c r="AL105" s="1214"/>
      <c r="AM105" s="1214"/>
      <c r="AN105" s="1214"/>
      <c r="AO105" s="1243"/>
      <c r="AP105" s="1243"/>
      <c r="AQ105" s="1243"/>
      <c r="AR105" s="1244"/>
      <c r="AS105" s="1100"/>
      <c r="AT105" s="1100"/>
      <c r="AU105" s="1100"/>
      <c r="AV105" s="1100"/>
      <c r="AW105" s="1100"/>
      <c r="AX105" s="1100"/>
      <c r="AY105" s="1100"/>
      <c r="AZ105" s="1100"/>
      <c r="BA105" s="1100"/>
      <c r="BB105" s="1100"/>
      <c r="BC105" s="1100"/>
    </row>
    <row r="106" spans="2:80" s="414" customFormat="1" x14ac:dyDescent="0.15">
      <c r="B106" s="415"/>
      <c r="D106" s="415"/>
      <c r="E106" s="888"/>
      <c r="AE106" s="956"/>
      <c r="AL106" s="98"/>
      <c r="AM106" s="98"/>
      <c r="AN106" s="98"/>
      <c r="AO106" s="886"/>
      <c r="AP106" s="886"/>
      <c r="AQ106" s="886"/>
      <c r="AR106" s="887"/>
      <c r="AS106" s="883"/>
      <c r="AT106" s="883"/>
      <c r="AU106" s="883"/>
      <c r="AV106" s="883"/>
      <c r="AW106" s="883"/>
      <c r="AX106" s="883"/>
      <c r="AY106" s="883"/>
      <c r="AZ106" s="883"/>
      <c r="BA106" s="883"/>
      <c r="BB106" s="883"/>
      <c r="BC106" s="883"/>
    </row>
    <row r="107" spans="2:80" s="414" customFormat="1" x14ac:dyDescent="0.15">
      <c r="B107" s="415"/>
      <c r="D107" s="415"/>
      <c r="E107" s="888"/>
      <c r="AE107" s="956"/>
      <c r="AL107" s="98"/>
      <c r="AM107" s="98"/>
      <c r="AN107" s="98"/>
      <c r="AO107" s="886"/>
      <c r="AP107" s="886"/>
      <c r="AQ107" s="886"/>
      <c r="AR107" s="887"/>
      <c r="AS107" s="883"/>
      <c r="AT107" s="883"/>
      <c r="AU107" s="883"/>
      <c r="AV107" s="883"/>
      <c r="AW107" s="883"/>
      <c r="AX107" s="883"/>
      <c r="AY107" s="883"/>
      <c r="AZ107" s="883"/>
      <c r="BA107" s="883"/>
      <c r="BB107" s="883"/>
      <c r="BC107" s="883"/>
      <c r="BO107" s="1100"/>
    </row>
    <row r="108" spans="2:80" s="414" customFormat="1" x14ac:dyDescent="0.15">
      <c r="B108" s="415"/>
      <c r="D108" s="415"/>
      <c r="E108" s="888"/>
      <c r="AE108" s="956"/>
      <c r="AL108" s="98"/>
      <c r="AM108" s="98"/>
      <c r="AN108" s="98"/>
      <c r="AO108" s="886"/>
      <c r="AP108" s="886"/>
      <c r="AQ108" s="886"/>
      <c r="AR108" s="887"/>
      <c r="AS108" s="883"/>
      <c r="AT108" s="883"/>
      <c r="AU108" s="883"/>
      <c r="AV108" s="883"/>
      <c r="AW108" s="883"/>
      <c r="AX108" s="883"/>
      <c r="AY108" s="883"/>
      <c r="AZ108" s="883"/>
      <c r="BA108" s="883"/>
      <c r="BB108" s="883"/>
      <c r="BC108" s="883"/>
      <c r="BO108" s="1100"/>
      <c r="BP108" s="1100"/>
      <c r="BQ108" s="1100"/>
      <c r="BR108" s="1100"/>
      <c r="BS108" s="1100"/>
      <c r="BT108" s="1100"/>
      <c r="BU108" s="1100"/>
      <c r="BV108" s="1100"/>
      <c r="BW108" s="1100"/>
      <c r="BX108" s="1100"/>
      <c r="BY108" s="1100"/>
      <c r="BZ108" s="1100"/>
      <c r="CA108" s="1100"/>
      <c r="CB108" s="1100"/>
    </row>
    <row r="109" spans="2:80" s="414" customFormat="1" x14ac:dyDescent="0.15">
      <c r="B109" s="415"/>
      <c r="D109" s="415"/>
      <c r="E109" s="888"/>
      <c r="AE109" s="956"/>
      <c r="AL109" s="98"/>
      <c r="AM109" s="98"/>
      <c r="AN109" s="98"/>
      <c r="AO109" s="886"/>
      <c r="AP109" s="886"/>
      <c r="AQ109" s="886"/>
      <c r="AR109" s="887"/>
      <c r="AS109" s="883"/>
      <c r="AT109" s="883"/>
      <c r="AU109" s="883"/>
      <c r="AV109" s="883"/>
      <c r="AW109" s="883"/>
      <c r="AX109" s="883"/>
      <c r="AY109" s="883"/>
      <c r="AZ109" s="883"/>
      <c r="BA109" s="883"/>
      <c r="BB109" s="883"/>
      <c r="BC109" s="883"/>
      <c r="BE109" s="1100"/>
      <c r="BF109" s="1100"/>
      <c r="BG109" s="1100"/>
      <c r="BH109" s="1100"/>
      <c r="BI109" s="1100"/>
      <c r="BJ109" s="1100"/>
      <c r="BK109" s="1100"/>
      <c r="BL109" s="1100"/>
      <c r="BM109" s="1100"/>
      <c r="BN109" s="1100"/>
      <c r="BO109" s="1100"/>
      <c r="BP109" s="1100"/>
      <c r="BQ109" s="1100"/>
      <c r="BR109" s="1100"/>
      <c r="BS109" s="1100"/>
      <c r="BT109" s="1100"/>
      <c r="BU109" s="1100"/>
      <c r="BV109" s="1100"/>
      <c r="BW109" s="1100"/>
      <c r="BX109" s="1100"/>
      <c r="BY109" s="1100"/>
      <c r="BZ109" s="1100"/>
      <c r="CA109" s="1100"/>
      <c r="CB109" s="1100"/>
    </row>
    <row r="110" spans="2:80" s="414" customFormat="1" x14ac:dyDescent="0.15">
      <c r="B110" s="415"/>
      <c r="D110" s="415"/>
      <c r="E110" s="888"/>
      <c r="AE110" s="956"/>
      <c r="AL110" s="98"/>
      <c r="AM110" s="98"/>
      <c r="AN110" s="98"/>
      <c r="AO110" s="886"/>
      <c r="AP110" s="886"/>
      <c r="AQ110" s="886"/>
      <c r="AR110" s="887"/>
      <c r="AS110" s="883"/>
      <c r="AT110" s="883"/>
      <c r="AU110" s="883"/>
      <c r="AV110" s="883"/>
      <c r="AW110" s="883"/>
      <c r="AX110" s="883"/>
      <c r="AY110" s="883"/>
      <c r="AZ110" s="883"/>
      <c r="BA110" s="883"/>
      <c r="BB110" s="883"/>
      <c r="BC110" s="883"/>
      <c r="BE110" s="1100"/>
      <c r="BF110" s="1100"/>
      <c r="BG110" s="1100"/>
      <c r="BH110" s="1100"/>
      <c r="BI110" s="1100"/>
      <c r="BJ110" s="1100"/>
      <c r="BK110" s="1100"/>
      <c r="BL110" s="1100"/>
      <c r="BM110" s="1100"/>
      <c r="BN110" s="1100"/>
      <c r="BO110" s="1100"/>
      <c r="BP110" s="1100"/>
      <c r="BQ110" s="1100"/>
      <c r="BR110" s="1100"/>
      <c r="BS110" s="1100"/>
      <c r="BT110" s="1100"/>
      <c r="BU110" s="1100"/>
      <c r="BV110" s="1100"/>
      <c r="BW110" s="1100"/>
      <c r="BX110" s="1100"/>
      <c r="BY110" s="1100"/>
      <c r="BZ110" s="1100"/>
      <c r="CA110" s="1100"/>
      <c r="CB110" s="1100"/>
    </row>
    <row r="111" spans="2:80" s="414" customFormat="1" x14ac:dyDescent="0.15">
      <c r="B111" s="415"/>
      <c r="D111" s="415"/>
      <c r="E111" s="888"/>
      <c r="AE111" s="956"/>
      <c r="AL111" s="98"/>
      <c r="AM111" s="98"/>
      <c r="AN111" s="98"/>
      <c r="AO111" s="886"/>
      <c r="AP111" s="886"/>
      <c r="AQ111" s="886"/>
      <c r="AR111" s="887"/>
      <c r="AS111" s="883"/>
      <c r="AT111" s="883"/>
      <c r="AU111" s="883"/>
      <c r="AV111" s="883"/>
      <c r="AW111" s="883"/>
      <c r="AX111" s="883"/>
      <c r="AY111" s="883"/>
      <c r="AZ111" s="883"/>
      <c r="BA111" s="883"/>
      <c r="BB111" s="883"/>
      <c r="BC111" s="883"/>
      <c r="BE111" s="1100"/>
      <c r="BF111" s="1100"/>
      <c r="BG111" s="1100"/>
      <c r="BH111" s="1100"/>
      <c r="BI111" s="1100"/>
      <c r="BJ111" s="1100"/>
      <c r="BK111" s="1100"/>
      <c r="BL111" s="1100"/>
      <c r="BM111" s="1100"/>
      <c r="BN111" s="1100"/>
      <c r="BO111" s="1100"/>
      <c r="BP111" s="1100"/>
      <c r="BQ111" s="1100"/>
      <c r="BR111" s="1100"/>
      <c r="BS111" s="1100"/>
      <c r="BT111" s="1100"/>
      <c r="BU111" s="1100"/>
      <c r="BV111" s="1100"/>
      <c r="BW111" s="1100"/>
      <c r="BX111" s="1100"/>
      <c r="BY111" s="1100"/>
      <c r="BZ111" s="1100"/>
      <c r="CA111" s="1100"/>
      <c r="CB111" s="1100"/>
    </row>
    <row r="112" spans="2:80" s="414" customFormat="1" x14ac:dyDescent="0.15">
      <c r="B112" s="415"/>
      <c r="D112" s="415"/>
      <c r="E112" s="888"/>
      <c r="AE112" s="956"/>
      <c r="AL112" s="98"/>
      <c r="AM112" s="98"/>
      <c r="AN112" s="98"/>
      <c r="AO112" s="886"/>
      <c r="AP112" s="886"/>
      <c r="AQ112" s="886"/>
      <c r="AR112" s="887"/>
      <c r="AS112" s="883"/>
      <c r="AT112" s="883"/>
      <c r="AU112" s="883"/>
      <c r="AV112" s="883"/>
      <c r="AW112" s="883"/>
      <c r="AX112" s="883"/>
      <c r="AY112" s="883"/>
      <c r="AZ112" s="883"/>
      <c r="BA112" s="883"/>
      <c r="BB112" s="883"/>
      <c r="BC112" s="883"/>
      <c r="BE112" s="1100"/>
      <c r="BF112" s="1100"/>
      <c r="BG112" s="1100"/>
      <c r="BH112" s="1100"/>
      <c r="BI112" s="1100"/>
      <c r="BJ112" s="1100"/>
      <c r="BK112" s="1100"/>
      <c r="BL112" s="1100"/>
      <c r="BM112" s="1100"/>
      <c r="BN112" s="1100"/>
      <c r="BO112" s="1100"/>
      <c r="BP112" s="1100"/>
      <c r="BQ112" s="1100"/>
      <c r="BR112" s="1100"/>
      <c r="BS112" s="1100"/>
      <c r="BT112" s="1100"/>
      <c r="BU112" s="1100"/>
      <c r="BV112" s="1100"/>
      <c r="BW112" s="1100"/>
      <c r="BX112" s="1100"/>
      <c r="BY112" s="1100"/>
      <c r="BZ112" s="1100"/>
      <c r="CA112" s="1100"/>
      <c r="CB112" s="1100"/>
    </row>
    <row r="113" spans="2:80" s="414" customFormat="1" x14ac:dyDescent="0.15">
      <c r="B113" s="415"/>
      <c r="D113" s="415"/>
      <c r="E113" s="888"/>
      <c r="AE113" s="956"/>
      <c r="AL113" s="98"/>
      <c r="AM113" s="98"/>
      <c r="AN113" s="98"/>
      <c r="AO113" s="886"/>
      <c r="AP113" s="886"/>
      <c r="AQ113" s="886"/>
      <c r="AR113" s="887"/>
      <c r="AS113" s="883"/>
      <c r="AT113" s="883"/>
      <c r="AU113" s="883"/>
      <c r="AV113" s="883"/>
      <c r="AW113" s="883"/>
      <c r="AX113" s="883"/>
      <c r="AY113" s="883"/>
      <c r="AZ113" s="883"/>
      <c r="BA113" s="883"/>
      <c r="BB113" s="883"/>
      <c r="BC113" s="883"/>
      <c r="BD113" s="1100"/>
      <c r="BE113" s="1100"/>
      <c r="BF113" s="1100"/>
      <c r="BG113" s="1100"/>
      <c r="BH113" s="1100"/>
      <c r="BI113" s="1100"/>
      <c r="BJ113" s="1100"/>
      <c r="BK113" s="1100"/>
      <c r="BL113" s="1100"/>
      <c r="BM113" s="1100"/>
      <c r="BN113" s="1100"/>
      <c r="BO113" s="1100"/>
      <c r="BP113" s="1100"/>
      <c r="BQ113" s="1100"/>
      <c r="BR113" s="1100"/>
      <c r="BS113" s="1100"/>
      <c r="BT113" s="1100"/>
      <c r="BU113" s="1100"/>
      <c r="BV113" s="1100"/>
      <c r="BW113" s="1100"/>
      <c r="BX113" s="1100"/>
      <c r="BY113" s="1100"/>
      <c r="BZ113" s="1100"/>
      <c r="CA113" s="1100"/>
      <c r="CB113" s="1100"/>
    </row>
    <row r="114" spans="2:80" s="1100" customFormat="1" x14ac:dyDescent="0.15">
      <c r="B114" s="1209"/>
      <c r="D114" s="1209"/>
      <c r="E114" s="1210"/>
      <c r="Y114" s="414"/>
      <c r="Z114" s="414"/>
      <c r="AA114" s="414"/>
      <c r="AB114" s="414"/>
      <c r="AC114" s="414"/>
      <c r="AD114" s="414"/>
      <c r="AE114" s="956"/>
      <c r="AF114" s="414"/>
      <c r="AG114" s="414"/>
      <c r="AH114" s="414"/>
      <c r="AI114" s="414"/>
      <c r="AL114" s="98"/>
      <c r="AM114" s="98"/>
      <c r="AN114" s="98"/>
      <c r="AO114" s="886"/>
      <c r="AP114" s="886"/>
      <c r="AQ114" s="886"/>
      <c r="AR114" s="887"/>
      <c r="AS114" s="883"/>
      <c r="AT114" s="883"/>
      <c r="AU114" s="883"/>
      <c r="AV114" s="883"/>
      <c r="AW114" s="883"/>
      <c r="AX114" s="883"/>
      <c r="AY114" s="883"/>
      <c r="AZ114" s="883"/>
      <c r="BA114" s="883"/>
      <c r="BB114" s="883"/>
      <c r="BC114" s="883"/>
    </row>
    <row r="115" spans="2:80" s="1100" customFormat="1" x14ac:dyDescent="0.15">
      <c r="B115" s="1209"/>
      <c r="D115" s="1209"/>
      <c r="E115" s="1210"/>
      <c r="Y115" s="414"/>
      <c r="Z115" s="414"/>
      <c r="AA115" s="414"/>
      <c r="AB115" s="414"/>
      <c r="AC115" s="414"/>
      <c r="AD115" s="414"/>
      <c r="AE115" s="956"/>
      <c r="AF115" s="414"/>
      <c r="AG115" s="414"/>
      <c r="AH115" s="414"/>
      <c r="AI115" s="414"/>
      <c r="AL115" s="98"/>
      <c r="AM115" s="98"/>
      <c r="AN115" s="98"/>
      <c r="AO115" s="886"/>
      <c r="AP115" s="886"/>
      <c r="AQ115" s="886"/>
      <c r="AR115" s="887"/>
      <c r="AS115" s="883"/>
      <c r="AT115" s="883"/>
      <c r="AU115" s="883"/>
      <c r="AV115" s="883"/>
      <c r="AW115" s="883"/>
      <c r="AX115" s="883"/>
      <c r="AY115" s="883"/>
      <c r="AZ115" s="883"/>
      <c r="BA115" s="883"/>
      <c r="BB115" s="883"/>
      <c r="BC115" s="883"/>
      <c r="BE115" s="883"/>
      <c r="BF115" s="883"/>
      <c r="BG115" s="883"/>
      <c r="BH115" s="883"/>
      <c r="BI115" s="883"/>
      <c r="BJ115" s="883"/>
      <c r="BK115" s="883"/>
      <c r="BL115" s="883"/>
      <c r="BM115" s="883"/>
      <c r="BN115" s="883"/>
      <c r="BO115" s="883"/>
      <c r="BP115" s="883"/>
      <c r="BQ115" s="883"/>
      <c r="BR115" s="883"/>
      <c r="BS115" s="883"/>
      <c r="BT115" s="883"/>
      <c r="BU115" s="883"/>
      <c r="BV115" s="883"/>
      <c r="BW115" s="883"/>
      <c r="BX115" s="883"/>
      <c r="BY115" s="883"/>
      <c r="BZ115" s="883"/>
      <c r="CA115" s="883"/>
      <c r="CB115" s="883"/>
    </row>
    <row r="116" spans="2:80" s="1100" customFormat="1" x14ac:dyDescent="0.15">
      <c r="B116" s="1209"/>
      <c r="D116" s="1209"/>
      <c r="E116" s="1210"/>
      <c r="Y116" s="414"/>
      <c r="Z116" s="414"/>
      <c r="AA116" s="414"/>
      <c r="AB116" s="414"/>
      <c r="AC116" s="414"/>
      <c r="AD116" s="414"/>
      <c r="AE116" s="956"/>
      <c r="AF116" s="414"/>
      <c r="AG116" s="414"/>
      <c r="AH116" s="414"/>
      <c r="AI116" s="414"/>
      <c r="AL116" s="98"/>
      <c r="AM116" s="98"/>
      <c r="AN116" s="98"/>
      <c r="AO116" s="886"/>
      <c r="AP116" s="886"/>
      <c r="AQ116" s="886"/>
      <c r="AR116" s="887"/>
      <c r="AS116" s="883"/>
      <c r="AT116" s="883"/>
      <c r="AU116" s="883"/>
      <c r="AV116" s="883"/>
      <c r="AW116" s="883"/>
      <c r="AX116" s="883"/>
      <c r="AY116" s="883"/>
      <c r="AZ116" s="883"/>
      <c r="BA116" s="883"/>
      <c r="BB116" s="883"/>
      <c r="BC116" s="883"/>
      <c r="BE116" s="883"/>
      <c r="BF116" s="883"/>
      <c r="BG116" s="883"/>
      <c r="BH116" s="883"/>
      <c r="BI116" s="883"/>
      <c r="BJ116" s="883"/>
      <c r="BK116" s="883"/>
      <c r="BL116" s="883"/>
      <c r="BM116" s="883"/>
      <c r="BN116" s="883"/>
      <c r="BO116" s="883"/>
      <c r="BP116" s="883"/>
      <c r="BQ116" s="883"/>
      <c r="BR116" s="883"/>
      <c r="BS116" s="883"/>
      <c r="BT116" s="883"/>
      <c r="BU116" s="883"/>
      <c r="BV116" s="883"/>
      <c r="BW116" s="883"/>
      <c r="BX116" s="883"/>
      <c r="BY116" s="883"/>
      <c r="BZ116" s="883"/>
      <c r="CA116" s="883"/>
      <c r="CB116" s="883"/>
    </row>
    <row r="117" spans="2:80" s="1100" customFormat="1" x14ac:dyDescent="0.15">
      <c r="B117" s="1209"/>
      <c r="D117" s="1209"/>
      <c r="E117" s="1210"/>
      <c r="AE117" s="1211"/>
      <c r="AL117" s="98"/>
      <c r="AM117" s="98"/>
      <c r="AN117" s="98"/>
      <c r="AO117" s="886"/>
      <c r="AP117" s="886"/>
      <c r="AQ117" s="886"/>
      <c r="AR117" s="887"/>
      <c r="AS117" s="883"/>
      <c r="AT117" s="883"/>
      <c r="AU117" s="883"/>
      <c r="AV117" s="883"/>
      <c r="AW117" s="883"/>
      <c r="AX117" s="883"/>
      <c r="AY117" s="883"/>
      <c r="AZ117" s="883"/>
      <c r="BA117" s="883"/>
      <c r="BB117" s="883"/>
      <c r="BC117" s="883"/>
      <c r="BE117" s="883"/>
      <c r="BF117" s="883"/>
      <c r="BG117" s="883"/>
      <c r="BH117" s="883"/>
      <c r="BI117" s="883"/>
      <c r="BJ117" s="883"/>
      <c r="BK117" s="883"/>
      <c r="BL117" s="883"/>
      <c r="BM117" s="883"/>
      <c r="BN117" s="883"/>
      <c r="BO117" s="883"/>
      <c r="BP117" s="883"/>
      <c r="BQ117" s="883"/>
      <c r="BR117" s="883"/>
      <c r="BS117" s="883"/>
      <c r="BT117" s="883"/>
      <c r="BU117" s="883"/>
      <c r="BV117" s="883"/>
      <c r="BW117" s="883"/>
      <c r="BX117" s="883"/>
      <c r="BY117" s="883"/>
      <c r="BZ117" s="883"/>
      <c r="CA117" s="883"/>
      <c r="CB117" s="883"/>
    </row>
    <row r="118" spans="2:80" s="1100" customFormat="1" x14ac:dyDescent="0.15">
      <c r="B118" s="1209"/>
      <c r="D118" s="1209"/>
      <c r="E118" s="1210"/>
      <c r="AE118" s="1211"/>
      <c r="AL118" s="98"/>
      <c r="AM118" s="98"/>
      <c r="AN118" s="98"/>
      <c r="AO118" s="886"/>
      <c r="AP118" s="886"/>
      <c r="AQ118" s="886"/>
      <c r="AR118" s="887"/>
      <c r="AS118" s="883"/>
      <c r="AT118" s="883"/>
      <c r="AU118" s="883"/>
      <c r="AV118" s="883"/>
      <c r="AW118" s="883"/>
      <c r="AX118" s="883"/>
      <c r="AY118" s="883"/>
      <c r="AZ118" s="883"/>
      <c r="BA118" s="883"/>
      <c r="BB118" s="883"/>
      <c r="BC118" s="883"/>
      <c r="BE118" s="883"/>
      <c r="BF118" s="883"/>
      <c r="BG118" s="883"/>
      <c r="BH118" s="883"/>
      <c r="BI118" s="883"/>
      <c r="BJ118" s="883"/>
      <c r="BK118" s="883"/>
      <c r="BL118" s="883"/>
      <c r="BM118" s="883"/>
      <c r="BN118" s="883"/>
      <c r="BO118" s="883"/>
      <c r="BP118" s="883"/>
      <c r="BQ118" s="883"/>
      <c r="BR118" s="883"/>
      <c r="BS118" s="883"/>
      <c r="BT118" s="883"/>
      <c r="BU118" s="883"/>
      <c r="BV118" s="883"/>
      <c r="BW118" s="883"/>
      <c r="BX118" s="883"/>
      <c r="BY118" s="883"/>
      <c r="BZ118" s="883"/>
      <c r="CA118" s="883"/>
      <c r="CB118" s="883"/>
    </row>
    <row r="119" spans="2:80" s="1100" customFormat="1" x14ac:dyDescent="0.15">
      <c r="B119" s="1209"/>
      <c r="D119" s="1209"/>
      <c r="E119" s="1210"/>
      <c r="AE119" s="1211"/>
      <c r="AL119" s="98"/>
      <c r="AM119" s="98"/>
      <c r="AN119" s="98"/>
      <c r="AO119" s="886"/>
      <c r="AP119" s="886"/>
      <c r="AQ119" s="886"/>
      <c r="AR119" s="887"/>
      <c r="AS119" s="883"/>
      <c r="AT119" s="883"/>
      <c r="AU119" s="883"/>
      <c r="AV119" s="883"/>
      <c r="AW119" s="883"/>
      <c r="AX119" s="883"/>
      <c r="AY119" s="883"/>
      <c r="AZ119" s="883"/>
      <c r="BA119" s="883"/>
      <c r="BB119" s="883"/>
      <c r="BC119" s="883"/>
      <c r="BE119" s="883"/>
      <c r="BF119" s="883"/>
      <c r="BG119" s="883"/>
      <c r="BH119" s="883"/>
      <c r="BI119" s="883"/>
      <c r="BJ119" s="883"/>
      <c r="BK119" s="883"/>
      <c r="BL119" s="883"/>
      <c r="BM119" s="883"/>
      <c r="BN119" s="883"/>
      <c r="BO119" s="883"/>
      <c r="BP119" s="883"/>
      <c r="BQ119" s="883"/>
      <c r="BR119" s="883"/>
      <c r="BS119" s="883"/>
      <c r="BT119" s="883"/>
      <c r="BU119" s="883"/>
      <c r="BV119" s="883"/>
      <c r="BW119" s="883"/>
      <c r="BX119" s="883"/>
      <c r="BY119" s="883"/>
      <c r="BZ119" s="883"/>
      <c r="CA119" s="883"/>
      <c r="CB119" s="883"/>
    </row>
    <row r="120" spans="2:80" s="1100" customFormat="1" x14ac:dyDescent="0.15">
      <c r="B120" s="1209"/>
      <c r="D120" s="1209"/>
      <c r="E120" s="1210"/>
      <c r="AE120" s="1211"/>
      <c r="AL120" s="98"/>
      <c r="AM120" s="98"/>
      <c r="AN120" s="98"/>
      <c r="AO120" s="886"/>
      <c r="AP120" s="886"/>
      <c r="AQ120" s="886"/>
      <c r="AR120" s="887"/>
      <c r="AS120" s="883"/>
      <c r="AT120" s="883"/>
      <c r="AU120" s="883"/>
      <c r="AV120" s="883"/>
      <c r="AW120" s="883"/>
      <c r="AX120" s="883"/>
      <c r="AY120" s="883"/>
      <c r="AZ120" s="883"/>
      <c r="BA120" s="883"/>
      <c r="BB120" s="883"/>
      <c r="BC120" s="883"/>
      <c r="BE120" s="883"/>
      <c r="BF120" s="883"/>
      <c r="BG120" s="883"/>
      <c r="BH120" s="883"/>
      <c r="BI120" s="883"/>
      <c r="BJ120" s="883"/>
      <c r="BK120" s="883"/>
      <c r="BL120" s="883"/>
      <c r="BM120" s="883"/>
      <c r="BN120" s="883"/>
      <c r="BO120" s="883"/>
      <c r="BP120" s="883"/>
      <c r="BQ120" s="883"/>
      <c r="BR120" s="883"/>
      <c r="BS120" s="883"/>
      <c r="BT120" s="883"/>
      <c r="BU120" s="883"/>
      <c r="BV120" s="883"/>
      <c r="BW120" s="883"/>
      <c r="BX120" s="883"/>
      <c r="BY120" s="883"/>
      <c r="BZ120" s="883"/>
      <c r="CA120" s="883"/>
      <c r="CB120" s="883"/>
    </row>
  </sheetData>
  <mergeCells count="198">
    <mergeCell ref="BN44:BN56"/>
    <mergeCell ref="BN31:BN32"/>
    <mergeCell ref="BN33:BN40"/>
    <mergeCell ref="BN21:BN29"/>
    <mergeCell ref="BE18:BN18"/>
    <mergeCell ref="BE17:BM17"/>
    <mergeCell ref="BE57:BN57"/>
    <mergeCell ref="BE41:BN41"/>
    <mergeCell ref="BE30:BN30"/>
    <mergeCell ref="BK19:BM19"/>
    <mergeCell ref="BI31:BJ31"/>
    <mergeCell ref="BK31:BM31"/>
    <mergeCell ref="BN11:BN12"/>
    <mergeCell ref="BN13:BN16"/>
    <mergeCell ref="BN19:BN20"/>
    <mergeCell ref="BN42:BN43"/>
    <mergeCell ref="BE58:BE59"/>
    <mergeCell ref="BF58:BF59"/>
    <mergeCell ref="BG58:BH58"/>
    <mergeCell ref="BI58:BJ58"/>
    <mergeCell ref="BK58:BM58"/>
    <mergeCell ref="BN58:BN59"/>
    <mergeCell ref="BE19:BE20"/>
    <mergeCell ref="BF19:BF20"/>
    <mergeCell ref="BG19:BH19"/>
    <mergeCell ref="BI19:BJ19"/>
    <mergeCell ref="BE31:BE32"/>
    <mergeCell ref="BF31:BF32"/>
    <mergeCell ref="BG31:BH31"/>
    <mergeCell ref="BI32:BJ32"/>
    <mergeCell ref="BE42:BE43"/>
    <mergeCell ref="BF42:BF43"/>
    <mergeCell ref="BG42:BH42"/>
    <mergeCell ref="BI42:BJ42"/>
    <mergeCell ref="BK42:BM42"/>
    <mergeCell ref="BK47:BK51"/>
    <mergeCell ref="BL47:BL51"/>
    <mergeCell ref="BM47:BM51"/>
    <mergeCell ref="BN60:BN71"/>
    <mergeCell ref="AL63:AL70"/>
    <mergeCell ref="AW22:AX22"/>
    <mergeCell ref="AY22:AZ22"/>
    <mergeCell ref="AL60:AL62"/>
    <mergeCell ref="AL71:AL77"/>
    <mergeCell ref="AL78:AL80"/>
    <mergeCell ref="BE11:BE12"/>
    <mergeCell ref="BF11:BF12"/>
    <mergeCell ref="R7:T8"/>
    <mergeCell ref="AL85:BC85"/>
    <mergeCell ref="B11:B12"/>
    <mergeCell ref="C11:C12"/>
    <mergeCell ref="N11:N12"/>
    <mergeCell ref="O11:O12"/>
    <mergeCell ref="Y11:Y12"/>
    <mergeCell ref="Z11:Z12"/>
    <mergeCell ref="AG16:AG20"/>
    <mergeCell ref="AH16:AH20"/>
    <mergeCell ref="AI16:AI20"/>
    <mergeCell ref="AL82:AM82"/>
    <mergeCell ref="AW82:AX82"/>
    <mergeCell ref="AY82:AZ82"/>
    <mergeCell ref="AL83:AM83"/>
    <mergeCell ref="AW83:AX83"/>
    <mergeCell ref="AY83:AZ83"/>
    <mergeCell ref="AL84:AM84"/>
    <mergeCell ref="AW84:AX84"/>
    <mergeCell ref="AY84:AZ84"/>
    <mergeCell ref="AW77:AX77"/>
    <mergeCell ref="AY77:AZ77"/>
    <mergeCell ref="AW78:AX78"/>
    <mergeCell ref="AY78:AZ78"/>
    <mergeCell ref="AW79:AX79"/>
    <mergeCell ref="AY79:AZ79"/>
    <mergeCell ref="AW80:AX80"/>
    <mergeCell ref="AY80:AZ80"/>
    <mergeCell ref="AW81:AX81"/>
    <mergeCell ref="AY81:AZ81"/>
    <mergeCell ref="AW72:AX72"/>
    <mergeCell ref="AY72:AZ72"/>
    <mergeCell ref="AW73:AX73"/>
    <mergeCell ref="AY73:AZ73"/>
    <mergeCell ref="AW74:AX74"/>
    <mergeCell ref="AY74:AZ74"/>
    <mergeCell ref="AW75:AX75"/>
    <mergeCell ref="AY75:AZ75"/>
    <mergeCell ref="AW76:AX76"/>
    <mergeCell ref="AY76:AZ76"/>
    <mergeCell ref="AW69:AX69"/>
    <mergeCell ref="AY69:AZ69"/>
    <mergeCell ref="AW70:AX70"/>
    <mergeCell ref="AY70:AZ70"/>
    <mergeCell ref="AW71:AX71"/>
    <mergeCell ref="AY71:AZ71"/>
    <mergeCell ref="AW64:AX64"/>
    <mergeCell ref="AY64:AZ64"/>
    <mergeCell ref="AW65:AX65"/>
    <mergeCell ref="AY65:AZ65"/>
    <mergeCell ref="AW66:AX66"/>
    <mergeCell ref="AY66:AZ66"/>
    <mergeCell ref="AW67:AX67"/>
    <mergeCell ref="AY67:AZ67"/>
    <mergeCell ref="AW68:AX68"/>
    <mergeCell ref="AY68:AZ68"/>
    <mergeCell ref="AW59:AX59"/>
    <mergeCell ref="AY59:AZ59"/>
    <mergeCell ref="AW60:AX60"/>
    <mergeCell ref="AY60:AZ60"/>
    <mergeCell ref="AW61:AX61"/>
    <mergeCell ref="AY61:AZ61"/>
    <mergeCell ref="AW62:AX62"/>
    <mergeCell ref="AY62:AZ62"/>
    <mergeCell ref="AW63:AX63"/>
    <mergeCell ref="AY63:AZ63"/>
    <mergeCell ref="AW36:AX36"/>
    <mergeCell ref="AY36:AZ36"/>
    <mergeCell ref="AW37:AX37"/>
    <mergeCell ref="AY37:AZ37"/>
    <mergeCell ref="AL38:AM38"/>
    <mergeCell ref="AL39:AM39"/>
    <mergeCell ref="AY41:AZ41"/>
    <mergeCell ref="AW58:AX58"/>
    <mergeCell ref="AY58:AZ58"/>
    <mergeCell ref="AW33:AX33"/>
    <mergeCell ref="AY33:AZ33"/>
    <mergeCell ref="AW34:AX34"/>
    <mergeCell ref="AY34:AZ34"/>
    <mergeCell ref="AW35:AX35"/>
    <mergeCell ref="AY35:AZ35"/>
    <mergeCell ref="AW29:AX29"/>
    <mergeCell ref="AY29:AZ29"/>
    <mergeCell ref="AW30:AX30"/>
    <mergeCell ref="AY30:AZ30"/>
    <mergeCell ref="AW31:AX31"/>
    <mergeCell ref="AY31:AZ31"/>
    <mergeCell ref="AW32:AX32"/>
    <mergeCell ref="AY32:AZ32"/>
    <mergeCell ref="AW26:AX26"/>
    <mergeCell ref="AY26:AZ26"/>
    <mergeCell ref="AW27:AX27"/>
    <mergeCell ref="AY27:AZ27"/>
    <mergeCell ref="Y27:AI27"/>
    <mergeCell ref="AW28:AX28"/>
    <mergeCell ref="AY28:AZ28"/>
    <mergeCell ref="AW21:AX21"/>
    <mergeCell ref="AY21:AZ21"/>
    <mergeCell ref="AW23:AX23"/>
    <mergeCell ref="AY23:AZ23"/>
    <mergeCell ref="AW24:AX24"/>
    <mergeCell ref="AY24:AZ24"/>
    <mergeCell ref="B24:K24"/>
    <mergeCell ref="N24:V24"/>
    <mergeCell ref="N25:V25"/>
    <mergeCell ref="AW25:AX25"/>
    <mergeCell ref="AY25:AZ25"/>
    <mergeCell ref="AW16:AX16"/>
    <mergeCell ref="AY16:AZ16"/>
    <mergeCell ref="AW17:AX17"/>
    <mergeCell ref="AY17:AZ17"/>
    <mergeCell ref="AW18:AX18"/>
    <mergeCell ref="AY18:AZ18"/>
    <mergeCell ref="AW19:AX19"/>
    <mergeCell ref="AY19:AZ19"/>
    <mergeCell ref="AW20:AX20"/>
    <mergeCell ref="AY20:AZ20"/>
    <mergeCell ref="R12:S12"/>
    <mergeCell ref="AL13:AM13"/>
    <mergeCell ref="AW13:AX13"/>
    <mergeCell ref="AY13:AZ13"/>
    <mergeCell ref="AL14:AM14"/>
    <mergeCell ref="AW14:AX14"/>
    <mergeCell ref="AY14:AZ14"/>
    <mergeCell ref="AW15:AX15"/>
    <mergeCell ref="AY15:AZ15"/>
    <mergeCell ref="BK11:BM11"/>
    <mergeCell ref="B10:K10"/>
    <mergeCell ref="N10:V10"/>
    <mergeCell ref="Y10:AI10"/>
    <mergeCell ref="AL10:BC10"/>
    <mergeCell ref="BE10:BN10"/>
    <mergeCell ref="D11:E11"/>
    <mergeCell ref="F11:G11"/>
    <mergeCell ref="H11:I11"/>
    <mergeCell ref="J11:K11"/>
    <mergeCell ref="P11:Q11"/>
    <mergeCell ref="R11:T11"/>
    <mergeCell ref="U11:V11"/>
    <mergeCell ref="AA11:AB11"/>
    <mergeCell ref="AC11:AD11"/>
    <mergeCell ref="AE11:AF11"/>
    <mergeCell ref="AG11:AI11"/>
    <mergeCell ref="AL11:AM11"/>
    <mergeCell ref="AN11:AP11"/>
    <mergeCell ref="AQ11:AR11"/>
    <mergeCell ref="AS11:AU11"/>
    <mergeCell ref="AV11:AZ11"/>
    <mergeCell ref="BA11:BC11"/>
    <mergeCell ref="BG11:BH11"/>
    <mergeCell ref="BI11:BJ11"/>
  </mergeCells>
  <phoneticPr fontId="62" type="noConversion"/>
  <pageMargins left="0.7" right="0.7" top="0.75" bottom="0.75" header="0.3" footer="0.3"/>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W116"/>
  <sheetViews>
    <sheetView topLeftCell="AT9" workbookViewId="0">
      <selection activeCell="BS13" sqref="BS13"/>
    </sheetView>
  </sheetViews>
  <sheetFormatPr defaultColWidth="9" defaultRowHeight="16.5" outlineLevelCol="1" x14ac:dyDescent="0.15"/>
  <cols>
    <col min="1" max="1" width="4.625" style="414" customWidth="1"/>
    <col min="2" max="2" width="3.5" style="882" customWidth="1"/>
    <col min="3" max="3" width="16.25" style="883" customWidth="1"/>
    <col min="4" max="4" width="6.5" style="882" customWidth="1"/>
    <col min="5" max="5" width="12.25" style="884" customWidth="1"/>
    <col min="6" max="6" width="5.625" style="883" customWidth="1"/>
    <col min="7" max="7" width="11.75" style="883" customWidth="1"/>
    <col min="8" max="8" width="5.625" style="883" customWidth="1"/>
    <col min="9" max="9" width="11.75" style="883" customWidth="1"/>
    <col min="10" max="10" width="5.625" style="883" customWidth="1"/>
    <col min="11" max="11" width="17.375" style="883" customWidth="1"/>
    <col min="12" max="12" width="2.25" style="883" customWidth="1"/>
    <col min="13" max="13" width="9.625" style="883" customWidth="1"/>
    <col min="14" max="14" width="3.875" style="883" customWidth="1"/>
    <col min="15" max="15" width="12.25" style="883" customWidth="1"/>
    <col min="16" max="16" width="6.5" style="883" customWidth="1"/>
    <col min="17" max="17" width="9.75" style="883" customWidth="1"/>
    <col min="18" max="18" width="14.75" style="883" customWidth="1"/>
    <col min="19" max="19" width="5.625" style="883" customWidth="1"/>
    <col min="20" max="20" width="9.75" style="883" customWidth="1"/>
    <col min="21" max="21" width="6.625" style="883" customWidth="1"/>
    <col min="22" max="22" width="15.25" style="883" customWidth="1"/>
    <col min="23" max="23" width="11.625" style="883" customWidth="1"/>
    <col min="24" max="24" width="6.125" style="883" customWidth="1"/>
    <col min="25" max="25" width="3.75" style="883" customWidth="1"/>
    <col min="26" max="26" width="11.625" style="883" customWidth="1"/>
    <col min="27" max="27" width="10.25" style="883" customWidth="1"/>
    <col min="28" max="28" width="11.625" style="883" customWidth="1"/>
    <col min="29" max="29" width="7.25" style="883" customWidth="1"/>
    <col min="30" max="30" width="11.625" style="883" customWidth="1"/>
    <col min="31" max="31" width="12.875" style="885" customWidth="1"/>
    <col min="32" max="32" width="11.625" style="883" customWidth="1"/>
    <col min="33" max="34" width="9" style="883"/>
    <col min="35" max="35" width="14.25" style="883" customWidth="1"/>
    <col min="36" max="37" width="11.625" style="883" customWidth="1"/>
    <col min="38" max="38" width="9" style="98" customWidth="1"/>
    <col min="39" max="39" width="16.625" style="98" customWidth="1"/>
    <col min="40" max="40" width="15.75" style="98" customWidth="1"/>
    <col min="41" max="41" width="14.375" style="886" customWidth="1"/>
    <col min="42" max="43" width="8.875" style="886" customWidth="1"/>
    <col min="44" max="44" width="11.375" style="887" customWidth="1"/>
    <col min="45" max="45" width="11.375" style="883" customWidth="1"/>
    <col min="46" max="46" width="7.375" style="883" customWidth="1"/>
    <col min="47" max="47" width="13.5" style="883" customWidth="1"/>
    <col min="48" max="52" width="9" style="883" customWidth="1"/>
    <col min="53" max="60" width="9" style="883" hidden="1" customWidth="1" outlineLevel="1"/>
    <col min="61" max="61" width="12.5" style="883" hidden="1" customWidth="1" outlineLevel="1"/>
    <col min="62" max="62" width="9" style="883" customWidth="1" collapsed="1"/>
    <col min="63" max="66" width="9" style="883"/>
    <col min="67" max="70" width="9" style="883" hidden="1" customWidth="1" outlineLevel="1"/>
    <col min="71" max="71" width="9" style="883" collapsed="1"/>
    <col min="72" max="73" width="9" style="883"/>
    <col min="74" max="74" width="44.375" style="883" customWidth="1"/>
    <col min="75" max="16384" width="9" style="883"/>
  </cols>
  <sheetData>
    <row r="1" spans="2:74" s="414" customFormat="1" ht="21" x14ac:dyDescent="0.15">
      <c r="B1" s="422" t="s">
        <v>0</v>
      </c>
      <c r="D1" s="415"/>
      <c r="E1" s="888"/>
      <c r="N1" s="422" t="s">
        <v>1</v>
      </c>
      <c r="Y1" s="422" t="s">
        <v>2</v>
      </c>
      <c r="AE1" s="956"/>
      <c r="AK1" s="422" t="s">
        <v>3</v>
      </c>
      <c r="AL1" s="981"/>
      <c r="AM1" s="980"/>
      <c r="AN1" s="980"/>
      <c r="AO1" s="1017"/>
      <c r="AP1" s="1017"/>
      <c r="AQ1" s="1017"/>
      <c r="AR1" s="1018"/>
    </row>
    <row r="2" spans="2:74" s="414" customFormat="1" ht="26.1" customHeight="1" x14ac:dyDescent="0.15">
      <c r="B2" s="422"/>
      <c r="D2" s="415"/>
      <c r="E2" s="888"/>
      <c r="AE2" s="956"/>
      <c r="AK2" s="982"/>
      <c r="AL2" s="980"/>
      <c r="AM2" s="980"/>
      <c r="AN2" s="980"/>
      <c r="AO2" s="1017"/>
      <c r="AP2" s="1017"/>
      <c r="AQ2" s="1017"/>
      <c r="AR2" s="1019"/>
      <c r="AS2" s="982"/>
    </row>
    <row r="3" spans="2:74" s="414" customFormat="1" ht="67.5" customHeight="1" x14ac:dyDescent="0.15">
      <c r="B3" s="415"/>
      <c r="D3" s="889"/>
      <c r="AE3" s="956"/>
      <c r="AK3" s="982"/>
      <c r="AL3" s="980"/>
      <c r="AM3" s="980"/>
      <c r="AN3" s="980"/>
      <c r="AO3" s="1017"/>
      <c r="AP3" s="1017"/>
      <c r="AR3" s="1019"/>
      <c r="AS3" s="982"/>
    </row>
    <row r="4" spans="2:74" s="414" customFormat="1" x14ac:dyDescent="0.15">
      <c r="B4" s="415" t="s">
        <v>4</v>
      </c>
      <c r="D4" s="889"/>
      <c r="AE4" s="956"/>
      <c r="AK4" s="982"/>
      <c r="AL4" s="980"/>
      <c r="AM4" s="980"/>
      <c r="AN4" s="980"/>
      <c r="AO4" s="1017"/>
      <c r="AP4" s="1017"/>
      <c r="AQ4" s="1017"/>
      <c r="AR4" s="1019"/>
      <c r="AS4" s="982"/>
    </row>
    <row r="5" spans="2:74" s="414" customFormat="1" ht="13.15" customHeight="1" x14ac:dyDescent="0.15">
      <c r="B5" s="415"/>
      <c r="D5" s="889"/>
      <c r="AE5" s="956"/>
      <c r="AK5" s="982"/>
      <c r="AL5" s="980"/>
      <c r="AM5" s="980"/>
      <c r="AN5" s="980"/>
      <c r="AO5" s="1017"/>
      <c r="AP5" s="1017"/>
      <c r="AQ5" s="1017"/>
      <c r="AR5" s="1019"/>
      <c r="AS5" s="982"/>
    </row>
    <row r="6" spans="2:74" s="414" customFormat="1" x14ac:dyDescent="0.15">
      <c r="B6" s="415"/>
      <c r="D6" s="889"/>
      <c r="AE6" s="956"/>
      <c r="AK6" s="982"/>
      <c r="AL6" s="980"/>
      <c r="AM6" s="980"/>
      <c r="AN6" s="980"/>
      <c r="AO6" s="1017"/>
      <c r="AP6" s="1017"/>
      <c r="AQ6" s="1017"/>
      <c r="AR6" s="1019"/>
      <c r="AS6" s="982"/>
    </row>
    <row r="7" spans="2:74" s="414" customFormat="1" x14ac:dyDescent="0.15">
      <c r="B7" s="415"/>
      <c r="D7" s="889"/>
      <c r="R7" s="1354" t="s">
        <v>5</v>
      </c>
      <c r="S7" s="1355"/>
      <c r="T7" s="1355"/>
      <c r="AE7" s="956"/>
      <c r="AK7" s="982"/>
      <c r="AL7" s="980"/>
      <c r="AM7" s="980"/>
      <c r="AN7" s="980"/>
      <c r="AO7" s="1017"/>
      <c r="AP7" s="1017"/>
      <c r="AQ7" s="1017"/>
      <c r="AR7" s="1019"/>
      <c r="AS7" s="982"/>
    </row>
    <row r="8" spans="2:74" s="414" customFormat="1" x14ac:dyDescent="0.15">
      <c r="B8" s="415"/>
      <c r="D8" s="889"/>
      <c r="R8" s="1355"/>
      <c r="S8" s="1355"/>
      <c r="T8" s="1355"/>
      <c r="AE8" s="956"/>
      <c r="AL8" s="980"/>
      <c r="AM8" s="980"/>
      <c r="AN8" s="980"/>
      <c r="AO8" s="1017"/>
      <c r="AP8" s="1017"/>
      <c r="AQ8" s="1017"/>
      <c r="AR8" s="1018"/>
    </row>
    <row r="9" spans="2:74" s="414" customFormat="1" x14ac:dyDescent="0.15">
      <c r="B9" s="415"/>
      <c r="D9" s="889"/>
      <c r="R9" s="406"/>
      <c r="S9" s="406"/>
      <c r="T9" s="406"/>
      <c r="AE9" s="956"/>
      <c r="AL9" s="980"/>
      <c r="AM9" s="980"/>
      <c r="AN9" s="980"/>
      <c r="AO9" s="1017"/>
      <c r="AP9" s="1017"/>
      <c r="AQ9" s="1017"/>
      <c r="AR9" s="1018"/>
    </row>
    <row r="10" spans="2:74" s="414" customFormat="1" ht="21" x14ac:dyDescent="0.15">
      <c r="B10" s="1260" t="s">
        <v>0</v>
      </c>
      <c r="C10" s="1261"/>
      <c r="D10" s="1261"/>
      <c r="E10" s="1261"/>
      <c r="F10" s="1261"/>
      <c r="G10" s="1261"/>
      <c r="H10" s="1261"/>
      <c r="I10" s="1261"/>
      <c r="J10" s="1261"/>
      <c r="K10" s="1262"/>
      <c r="N10" s="1263" t="s">
        <v>1</v>
      </c>
      <c r="O10" s="1264"/>
      <c r="P10" s="1264"/>
      <c r="Q10" s="1264"/>
      <c r="R10" s="1264"/>
      <c r="S10" s="1264"/>
      <c r="T10" s="1264"/>
      <c r="U10" s="1264"/>
      <c r="V10" s="1265"/>
      <c r="Y10" s="1266" t="s">
        <v>6</v>
      </c>
      <c r="Z10" s="1267"/>
      <c r="AA10" s="1267"/>
      <c r="AB10" s="1267"/>
      <c r="AC10" s="1267"/>
      <c r="AD10" s="1267"/>
      <c r="AE10" s="1267"/>
      <c r="AF10" s="1267"/>
      <c r="AG10" s="1267"/>
      <c r="AH10" s="1267"/>
      <c r="AI10" s="1268"/>
      <c r="AL10" s="1269" t="s">
        <v>3</v>
      </c>
      <c r="AM10" s="1270"/>
      <c r="AN10" s="1270"/>
      <c r="AO10" s="1270"/>
      <c r="AP10" s="1270"/>
      <c r="AQ10" s="1270"/>
      <c r="AR10" s="1270"/>
      <c r="AS10" s="1270"/>
      <c r="AT10" s="1270"/>
      <c r="AU10" s="1270"/>
      <c r="AV10" s="1270"/>
      <c r="AW10" s="1270"/>
      <c r="AX10" s="1270"/>
      <c r="AY10" s="1270"/>
      <c r="AZ10" s="1270"/>
      <c r="BA10" s="1270"/>
      <c r="BB10" s="1270"/>
      <c r="BC10" s="1270"/>
      <c r="BD10" s="1270"/>
      <c r="BE10" s="1270"/>
      <c r="BF10" s="1270"/>
      <c r="BG10" s="1270"/>
      <c r="BH10" s="1270"/>
      <c r="BI10" s="1271"/>
      <c r="BK10" s="1266" t="s">
        <v>7</v>
      </c>
      <c r="BL10" s="1267"/>
      <c r="BM10" s="1267"/>
      <c r="BN10" s="1267"/>
      <c r="BO10" s="1267"/>
      <c r="BP10" s="1267"/>
      <c r="BQ10" s="1267"/>
      <c r="BR10" s="1267"/>
      <c r="BS10" s="1267"/>
      <c r="BT10" s="1267"/>
      <c r="BU10" s="1267"/>
      <c r="BV10" s="1268"/>
    </row>
    <row r="11" spans="2:74" x14ac:dyDescent="0.15">
      <c r="B11" s="1274" t="s">
        <v>8</v>
      </c>
      <c r="C11" s="1352" t="s">
        <v>9</v>
      </c>
      <c r="D11" s="1272" t="s">
        <v>10</v>
      </c>
      <c r="E11" s="1273"/>
      <c r="F11" s="1274" t="s">
        <v>11</v>
      </c>
      <c r="G11" s="1273"/>
      <c r="H11" s="1274" t="s">
        <v>12</v>
      </c>
      <c r="I11" s="1273"/>
      <c r="J11" s="1272" t="s">
        <v>13</v>
      </c>
      <c r="K11" s="1273"/>
      <c r="L11" s="414"/>
      <c r="M11" s="414"/>
      <c r="N11" s="1274" t="s">
        <v>8</v>
      </c>
      <c r="O11" s="1352" t="s">
        <v>9</v>
      </c>
      <c r="P11" s="1272" t="s">
        <v>10</v>
      </c>
      <c r="Q11" s="1273"/>
      <c r="R11" s="1275" t="s">
        <v>14</v>
      </c>
      <c r="S11" s="1275"/>
      <c r="T11" s="1276"/>
      <c r="U11" s="1272" t="s">
        <v>13</v>
      </c>
      <c r="V11" s="1273"/>
      <c r="W11" s="414"/>
      <c r="X11" s="414"/>
      <c r="Y11" s="1274" t="s">
        <v>8</v>
      </c>
      <c r="Z11" s="1352" t="s">
        <v>9</v>
      </c>
      <c r="AA11" s="1272" t="s">
        <v>10</v>
      </c>
      <c r="AB11" s="1273"/>
      <c r="AC11" s="1274" t="s">
        <v>11</v>
      </c>
      <c r="AD11" s="1273"/>
      <c r="AE11" s="1274" t="s">
        <v>12</v>
      </c>
      <c r="AF11" s="1273"/>
      <c r="AG11" s="1272" t="s">
        <v>13</v>
      </c>
      <c r="AH11" s="1275"/>
      <c r="AI11" s="1273"/>
      <c r="AJ11" s="414"/>
      <c r="AK11" s="414"/>
      <c r="AL11" s="1274" t="s">
        <v>8</v>
      </c>
      <c r="AM11" s="1352" t="s">
        <v>9</v>
      </c>
      <c r="AN11" s="1272" t="s">
        <v>10</v>
      </c>
      <c r="AO11" s="1273"/>
      <c r="AP11" s="1383" t="s">
        <v>182</v>
      </c>
      <c r="AQ11" s="1384"/>
      <c r="AR11" s="1374" t="s">
        <v>11</v>
      </c>
      <c r="AS11" s="1276"/>
      <c r="AT11" s="1383" t="s">
        <v>183</v>
      </c>
      <c r="AU11" s="1384"/>
      <c r="AV11" s="1272" t="s">
        <v>13</v>
      </c>
      <c r="AW11" s="1275"/>
      <c r="AX11" s="1273"/>
      <c r="AY11" s="1374" t="s">
        <v>184</v>
      </c>
      <c r="AZ11" s="1276"/>
      <c r="BA11" s="1375" t="s">
        <v>10</v>
      </c>
      <c r="BB11" s="1376"/>
      <c r="BC11" s="1377" t="s">
        <v>11</v>
      </c>
      <c r="BD11" s="1376"/>
      <c r="BE11" s="1377" t="s">
        <v>12</v>
      </c>
      <c r="BF11" s="1376"/>
      <c r="BG11" s="1375" t="s">
        <v>13</v>
      </c>
      <c r="BH11" s="1382"/>
      <c r="BI11" s="1376"/>
      <c r="BJ11" s="414"/>
      <c r="BK11" s="1274" t="s">
        <v>8</v>
      </c>
      <c r="BL11" s="1352" t="s">
        <v>9</v>
      </c>
      <c r="BM11" s="1272" t="s">
        <v>10</v>
      </c>
      <c r="BN11" s="1273"/>
      <c r="BO11" s="1274" t="s">
        <v>11</v>
      </c>
      <c r="BP11" s="1273"/>
      <c r="BQ11" s="1274" t="s">
        <v>12</v>
      </c>
      <c r="BR11" s="1273"/>
      <c r="BS11" s="1272" t="s">
        <v>13</v>
      </c>
      <c r="BT11" s="1275"/>
      <c r="BU11" s="1275"/>
      <c r="BV11" s="1273"/>
    </row>
    <row r="12" spans="2:74" x14ac:dyDescent="0.15">
      <c r="B12" s="1351"/>
      <c r="C12" s="1353"/>
      <c r="D12" s="891" t="s">
        <v>21</v>
      </c>
      <c r="E12" s="892" t="s">
        <v>22</v>
      </c>
      <c r="F12" s="890" t="s">
        <v>21</v>
      </c>
      <c r="G12" s="892" t="s">
        <v>22</v>
      </c>
      <c r="H12" s="890" t="s">
        <v>21</v>
      </c>
      <c r="I12" s="892" t="s">
        <v>22</v>
      </c>
      <c r="J12" s="891" t="s">
        <v>22</v>
      </c>
      <c r="K12" s="892" t="s">
        <v>23</v>
      </c>
      <c r="L12" s="414"/>
      <c r="M12" s="414"/>
      <c r="N12" s="1351"/>
      <c r="O12" s="1353"/>
      <c r="P12" s="891" t="s">
        <v>21</v>
      </c>
      <c r="Q12" s="892" t="s">
        <v>22</v>
      </c>
      <c r="R12" s="1290" t="s">
        <v>24</v>
      </c>
      <c r="S12" s="1291"/>
      <c r="T12" s="892" t="s">
        <v>25</v>
      </c>
      <c r="U12" s="891" t="s">
        <v>22</v>
      </c>
      <c r="V12" s="892" t="s">
        <v>23</v>
      </c>
      <c r="W12" s="414"/>
      <c r="X12" s="414"/>
      <c r="Y12" s="1351"/>
      <c r="Z12" s="1353"/>
      <c r="AA12" s="891" t="s">
        <v>21</v>
      </c>
      <c r="AB12" s="892" t="s">
        <v>22</v>
      </c>
      <c r="AC12" s="890" t="s">
        <v>21</v>
      </c>
      <c r="AD12" s="892" t="s">
        <v>22</v>
      </c>
      <c r="AE12" s="890" t="s">
        <v>21</v>
      </c>
      <c r="AF12" s="892" t="s">
        <v>22</v>
      </c>
      <c r="AG12" s="891" t="s">
        <v>26</v>
      </c>
      <c r="AH12" s="937" t="s">
        <v>27</v>
      </c>
      <c r="AI12" s="892" t="s">
        <v>23</v>
      </c>
      <c r="AJ12" s="414"/>
      <c r="AK12" s="414"/>
      <c r="AL12" s="1351"/>
      <c r="AM12" s="1353"/>
      <c r="AN12" s="891" t="s">
        <v>21</v>
      </c>
      <c r="AO12" s="892" t="s">
        <v>22</v>
      </c>
      <c r="AP12" s="891" t="s">
        <v>21</v>
      </c>
      <c r="AQ12" s="892" t="s">
        <v>22</v>
      </c>
      <c r="AR12" s="890" t="s">
        <v>21</v>
      </c>
      <c r="AS12" s="892" t="s">
        <v>22</v>
      </c>
      <c r="AT12" s="890" t="s">
        <v>21</v>
      </c>
      <c r="AU12" s="892" t="s">
        <v>22</v>
      </c>
      <c r="AV12" s="891" t="s">
        <v>185</v>
      </c>
      <c r="AW12" s="937" t="s">
        <v>27</v>
      </c>
      <c r="AX12" s="892" t="s">
        <v>23</v>
      </c>
      <c r="AY12" s="890" t="s">
        <v>21</v>
      </c>
      <c r="AZ12" s="892" t="s">
        <v>22</v>
      </c>
      <c r="BA12" s="1048" t="s">
        <v>21</v>
      </c>
      <c r="BB12" s="1049" t="s">
        <v>22</v>
      </c>
      <c r="BC12" s="1050" t="s">
        <v>21</v>
      </c>
      <c r="BD12" s="1049" t="s">
        <v>22</v>
      </c>
      <c r="BE12" s="1050" t="s">
        <v>21</v>
      </c>
      <c r="BF12" s="1049" t="s">
        <v>22</v>
      </c>
      <c r="BG12" s="1048" t="s">
        <v>186</v>
      </c>
      <c r="BH12" s="1058" t="s">
        <v>27</v>
      </c>
      <c r="BI12" s="1049" t="s">
        <v>23</v>
      </c>
      <c r="BJ12" s="414"/>
      <c r="BK12" s="1351"/>
      <c r="BL12" s="1353"/>
      <c r="BM12" s="891" t="s">
        <v>21</v>
      </c>
      <c r="BN12" s="892" t="s">
        <v>22</v>
      </c>
      <c r="BO12" s="890" t="s">
        <v>21</v>
      </c>
      <c r="BP12" s="892" t="s">
        <v>22</v>
      </c>
      <c r="BQ12" s="890" t="s">
        <v>21</v>
      </c>
      <c r="BR12" s="892" t="s">
        <v>22</v>
      </c>
      <c r="BS12" s="891" t="s">
        <v>29</v>
      </c>
      <c r="BT12" s="937" t="s">
        <v>30</v>
      </c>
      <c r="BU12" s="937" t="s">
        <v>31</v>
      </c>
      <c r="BV12" s="892" t="s">
        <v>23</v>
      </c>
    </row>
    <row r="13" spans="2:74" s="881" customFormat="1" x14ac:dyDescent="0.15">
      <c r="B13" s="893"/>
      <c r="C13" s="894" t="s">
        <v>32</v>
      </c>
      <c r="D13" s="895"/>
      <c r="E13" s="896" t="s">
        <v>33</v>
      </c>
      <c r="F13" s="897"/>
      <c r="G13" s="898"/>
      <c r="H13" s="897"/>
      <c r="I13" s="896" t="s">
        <v>34</v>
      </c>
      <c r="J13" s="928"/>
      <c r="K13" s="929"/>
      <c r="N13" s="893"/>
      <c r="O13" s="894" t="s">
        <v>32</v>
      </c>
      <c r="P13" s="895"/>
      <c r="Q13" s="896" t="s">
        <v>33</v>
      </c>
      <c r="R13" s="938"/>
      <c r="S13" s="939"/>
      <c r="T13" s="900"/>
      <c r="U13" s="940"/>
      <c r="V13" s="941"/>
      <c r="Y13" s="893"/>
      <c r="Z13" s="894" t="s">
        <v>32</v>
      </c>
      <c r="AA13" s="895"/>
      <c r="AB13" s="896" t="s">
        <v>33</v>
      </c>
      <c r="AC13" s="957"/>
      <c r="AD13" s="958"/>
      <c r="AE13" s="959"/>
      <c r="AF13" s="958"/>
      <c r="AG13" s="983"/>
      <c r="AH13" s="984"/>
      <c r="AI13" s="985"/>
      <c r="AL13" s="893"/>
      <c r="AM13" s="894" t="s">
        <v>187</v>
      </c>
      <c r="AN13" s="895" t="s">
        <v>188</v>
      </c>
      <c r="AO13" s="896"/>
      <c r="AP13" s="1020"/>
      <c r="AQ13" s="1021"/>
      <c r="AR13" s="957"/>
      <c r="AS13" s="958"/>
      <c r="AT13" s="1022"/>
      <c r="AU13" s="1023"/>
      <c r="AV13" s="1024" t="s">
        <v>189</v>
      </c>
      <c r="AW13" s="984"/>
      <c r="AX13" s="985"/>
      <c r="AY13" s="957"/>
      <c r="AZ13" s="958"/>
      <c r="BA13" s="895" t="s">
        <v>190</v>
      </c>
      <c r="BB13" s="896"/>
      <c r="BC13" s="957"/>
      <c r="BD13" s="958"/>
      <c r="BE13" s="959"/>
      <c r="BF13" s="958"/>
      <c r="BG13" s="983"/>
      <c r="BH13" s="984"/>
      <c r="BI13" s="985"/>
      <c r="BJ13" s="414"/>
      <c r="BK13" s="893"/>
      <c r="BL13" s="894"/>
      <c r="BM13" s="895"/>
      <c r="BN13" s="896"/>
      <c r="BO13" s="957"/>
      <c r="BP13" s="958"/>
      <c r="BQ13" s="959"/>
      <c r="BR13" s="958"/>
      <c r="BS13" s="983"/>
      <c r="BT13" s="983"/>
      <c r="BU13" s="984"/>
      <c r="BV13" s="985"/>
    </row>
    <row r="14" spans="2:74" s="881" customFormat="1" ht="22.9" customHeight="1" x14ac:dyDescent="0.15">
      <c r="B14" s="893" t="s">
        <v>40</v>
      </c>
      <c r="C14" s="894" t="s">
        <v>41</v>
      </c>
      <c r="D14" s="895"/>
      <c r="E14" s="899">
        <v>1</v>
      </c>
      <c r="F14" s="897"/>
      <c r="G14" s="900">
        <v>0.62</v>
      </c>
      <c r="H14" s="897"/>
      <c r="I14" s="899">
        <v>0.62</v>
      </c>
      <c r="J14" s="928">
        <f t="shared" ref="J14:J17" si="0">+I14</f>
        <v>0.62</v>
      </c>
      <c r="K14" s="929" t="s">
        <v>42</v>
      </c>
      <c r="N14" s="893" t="s">
        <v>40</v>
      </c>
      <c r="O14" s="894" t="s">
        <v>41</v>
      </c>
      <c r="P14" s="895"/>
      <c r="Q14" s="899">
        <v>1</v>
      </c>
      <c r="R14" s="938"/>
      <c r="S14" s="939">
        <v>1</v>
      </c>
      <c r="T14" s="900">
        <v>1</v>
      </c>
      <c r="U14" s="940">
        <v>1</v>
      </c>
      <c r="V14" s="941" t="s">
        <v>42</v>
      </c>
      <c r="Y14" s="893" t="s">
        <v>40</v>
      </c>
      <c r="Z14" s="894" t="s">
        <v>41</v>
      </c>
      <c r="AA14" s="895"/>
      <c r="AB14" s="958">
        <v>0.875</v>
      </c>
      <c r="AC14" s="957"/>
      <c r="AD14" s="958">
        <f>(8750+3456)/10000</f>
        <v>1.2205999999999999</v>
      </c>
      <c r="AE14" s="959"/>
      <c r="AF14" s="958">
        <f>AD14</f>
        <v>1.2205999999999999</v>
      </c>
      <c r="AG14" s="983">
        <f>AF14</f>
        <v>1.2205999999999999</v>
      </c>
      <c r="AH14" s="984"/>
      <c r="AI14" s="985"/>
      <c r="AJ14" s="986"/>
      <c r="AL14" s="893" t="s">
        <v>40</v>
      </c>
      <c r="AM14" s="894" t="s">
        <v>41</v>
      </c>
      <c r="AN14" s="987"/>
      <c r="AO14" s="958">
        <f>海景嘉福汇报报告!E144/10000</f>
        <v>0.6</v>
      </c>
      <c r="AP14" s="1025"/>
      <c r="AQ14" s="1026">
        <f>海景嘉福汇报报告!G144/10000</f>
        <v>0.79860850569999997</v>
      </c>
      <c r="AR14" s="957"/>
      <c r="AS14" s="1027">
        <f>海景嘉福汇报报告!J144/10000</f>
        <v>0.82693373619908195</v>
      </c>
      <c r="AT14" s="1025"/>
      <c r="AU14" s="1026">
        <f>海景嘉福汇报报告!M144/10000</f>
        <v>1.2748842965</v>
      </c>
      <c r="AV14" s="1024">
        <f>AU14</f>
        <v>1.2748842965</v>
      </c>
      <c r="AW14" s="984"/>
      <c r="AX14" s="985"/>
      <c r="AY14" s="1051"/>
      <c r="AZ14" s="1027">
        <f>海景嘉福汇报报告!R144/10000</f>
        <v>1.2748842965</v>
      </c>
      <c r="BA14" s="895"/>
      <c r="BB14" s="1027">
        <f>海景嘉福汇报报告!G158/10000</f>
        <v>0.43448181969999999</v>
      </c>
      <c r="BC14" s="957"/>
      <c r="BD14" s="958">
        <f>海景嘉福汇报报告!J158/10000</f>
        <v>0.43448181969999999</v>
      </c>
      <c r="BE14" s="959"/>
      <c r="BF14" s="958">
        <f>BD14</f>
        <v>0.43448181969999999</v>
      </c>
      <c r="BG14" s="983"/>
      <c r="BH14" s="984"/>
      <c r="BI14" s="985"/>
      <c r="BJ14" s="414"/>
      <c r="BK14" s="893" t="s">
        <v>40</v>
      </c>
      <c r="BL14" s="894" t="s">
        <v>41</v>
      </c>
      <c r="BM14" s="1079"/>
      <c r="BN14" s="958">
        <f t="shared" ref="BN14:BN17" si="1">E14+Q14+AB14+AO14</f>
        <v>3.4750000000000001</v>
      </c>
      <c r="BO14" s="957"/>
      <c r="BP14" s="958"/>
      <c r="BQ14" s="959"/>
      <c r="BR14" s="958"/>
      <c r="BS14" s="983">
        <f>AV14+AG14+U14+J14</f>
        <v>4.1154842965</v>
      </c>
      <c r="BT14" s="983">
        <f t="shared" ref="BT14:BT17" si="2">BS14</f>
        <v>4.1154842965</v>
      </c>
      <c r="BU14" s="984"/>
      <c r="BV14" s="1053" t="s">
        <v>44</v>
      </c>
    </row>
    <row r="15" spans="2:74" s="881" customFormat="1" ht="29.25" x14ac:dyDescent="0.15">
      <c r="B15" s="901" t="s">
        <v>45</v>
      </c>
      <c r="C15" s="902" t="s">
        <v>46</v>
      </c>
      <c r="D15" s="903"/>
      <c r="E15" s="904">
        <f t="shared" ref="E15:I15" si="3">SUM(E16:E21)</f>
        <v>3.6170749999999998</v>
      </c>
      <c r="F15" s="905">
        <f t="shared" si="3"/>
        <v>0</v>
      </c>
      <c r="G15" s="904">
        <f t="shared" si="3"/>
        <v>0.37</v>
      </c>
      <c r="H15" s="905">
        <f t="shared" si="3"/>
        <v>0</v>
      </c>
      <c r="I15" s="904">
        <f t="shared" si="3"/>
        <v>0.55000000000000004</v>
      </c>
      <c r="J15" s="930">
        <f t="shared" si="0"/>
        <v>0.55000000000000004</v>
      </c>
      <c r="K15" s="931"/>
      <c r="N15" s="901" t="s">
        <v>45</v>
      </c>
      <c r="O15" s="902" t="s">
        <v>46</v>
      </c>
      <c r="P15" s="903"/>
      <c r="Q15" s="942">
        <f t="shared" ref="Q15:T15" si="4">SUM(Q16:Q21)</f>
        <v>6.0963399999999996</v>
      </c>
      <c r="R15" s="943"/>
      <c r="S15" s="926">
        <f t="shared" si="4"/>
        <v>1.22</v>
      </c>
      <c r="T15" s="942">
        <f t="shared" si="4"/>
        <v>1</v>
      </c>
      <c r="U15" s="944">
        <v>0</v>
      </c>
      <c r="V15" s="942"/>
      <c r="Y15" s="901" t="s">
        <v>45</v>
      </c>
      <c r="Z15" s="902" t="s">
        <v>46</v>
      </c>
      <c r="AA15" s="903"/>
      <c r="AB15" s="942">
        <f t="shared" ref="AB15:AD15" si="5">SUM(AB16:AB24)</f>
        <v>2.8090999999999999</v>
      </c>
      <c r="AC15" s="960">
        <f t="shared" si="5"/>
        <v>0</v>
      </c>
      <c r="AD15" s="942">
        <f t="shared" si="5"/>
        <v>2.6181648384168499</v>
      </c>
      <c r="AE15" s="961"/>
      <c r="AF15" s="942">
        <f>SUM(AF16:AF24)</f>
        <v>3.0366</v>
      </c>
      <c r="AG15" s="988">
        <f>SUM(AG16:AG24)</f>
        <v>0.3</v>
      </c>
      <c r="AH15" s="989">
        <f>AF15-AG15</f>
        <v>2.7366000000000001</v>
      </c>
      <c r="AI15" s="990" t="s">
        <v>47</v>
      </c>
      <c r="AL15" s="901" t="s">
        <v>45</v>
      </c>
      <c r="AM15" s="902" t="s">
        <v>46</v>
      </c>
      <c r="AN15" s="903"/>
      <c r="AO15" s="942">
        <f t="shared" ref="AO15:AS15" si="6">SUM(AO16:AO23)</f>
        <v>1.10978</v>
      </c>
      <c r="AP15" s="1025"/>
      <c r="AQ15" s="942">
        <f t="shared" si="6"/>
        <v>2.9702970297029702E-2</v>
      </c>
      <c r="AR15" s="960"/>
      <c r="AS15" s="942">
        <f t="shared" si="6"/>
        <v>2.9702970297029702E-2</v>
      </c>
      <c r="AT15" s="1025"/>
      <c r="AU15" s="942">
        <f t="shared" ref="AU15:AZ15" si="7">SUM(AU16:AU23)</f>
        <v>2.9702970297029702E-2</v>
      </c>
      <c r="AV15" s="1028">
        <f t="shared" si="7"/>
        <v>-0.797230765902052</v>
      </c>
      <c r="AW15" s="989"/>
      <c r="AX15" s="990"/>
      <c r="AY15" s="960"/>
      <c r="AZ15" s="942">
        <f t="shared" si="7"/>
        <v>0.47765353059794802</v>
      </c>
      <c r="BA15" s="903"/>
      <c r="BB15" s="942">
        <f t="shared" ref="BB15:BG15" si="8">SUM(BB16:BB23)</f>
        <v>3</v>
      </c>
      <c r="BC15" s="960"/>
      <c r="BD15" s="942">
        <f t="shared" si="8"/>
        <v>3</v>
      </c>
      <c r="BE15" s="1059"/>
      <c r="BF15" s="942">
        <f t="shared" si="8"/>
        <v>3</v>
      </c>
      <c r="BG15" s="1060">
        <f t="shared" si="8"/>
        <v>2.7903153432000001</v>
      </c>
      <c r="BH15" s="943">
        <f>BF15-BG15</f>
        <v>0.20968465680000001</v>
      </c>
      <c r="BI15" s="990" t="s">
        <v>191</v>
      </c>
      <c r="BJ15" s="414"/>
      <c r="BK15" s="901" t="s">
        <v>45</v>
      </c>
      <c r="BL15" s="902" t="s">
        <v>46</v>
      </c>
      <c r="BM15" s="1080">
        <f t="shared" ref="BM15:BP15" si="9">SUM(BM16:BM25)</f>
        <v>0</v>
      </c>
      <c r="BN15" s="942">
        <f t="shared" si="9"/>
        <v>10.157295</v>
      </c>
      <c r="BO15" s="960">
        <f t="shared" si="9"/>
        <v>0</v>
      </c>
      <c r="BP15" s="942">
        <f t="shared" si="9"/>
        <v>0</v>
      </c>
      <c r="BQ15" s="961"/>
      <c r="BR15" s="942">
        <f t="shared" ref="BR15:BU15" si="10">SUM(BR16:BR25)</f>
        <v>0</v>
      </c>
      <c r="BS15" s="988">
        <f t="shared" si="10"/>
        <v>5.0642535305979504</v>
      </c>
      <c r="BT15" s="988">
        <f t="shared" si="10"/>
        <v>0.87970297029703004</v>
      </c>
      <c r="BU15" s="989">
        <f t="shared" si="10"/>
        <v>4.1845505603009201</v>
      </c>
      <c r="BV15" s="1053" t="s">
        <v>47</v>
      </c>
    </row>
    <row r="16" spans="2:74" s="406" customFormat="1" ht="22.15" customHeight="1" x14ac:dyDescent="0.15">
      <c r="B16" s="906">
        <v>2.1</v>
      </c>
      <c r="C16" s="907" t="s">
        <v>49</v>
      </c>
      <c r="D16" s="908" t="s">
        <v>50</v>
      </c>
      <c r="E16" s="909">
        <v>1.2109000000000001</v>
      </c>
      <c r="F16" s="910" t="s">
        <v>50</v>
      </c>
      <c r="G16" s="911">
        <v>0.76</v>
      </c>
      <c r="H16" s="912"/>
      <c r="I16" s="909">
        <v>0</v>
      </c>
      <c r="J16" s="932"/>
      <c r="K16" s="909"/>
      <c r="N16" s="906">
        <v>2.1</v>
      </c>
      <c r="O16" s="907" t="s">
        <v>49</v>
      </c>
      <c r="P16" s="908" t="s">
        <v>50</v>
      </c>
      <c r="Q16" s="945">
        <v>1.9471290000000001</v>
      </c>
      <c r="R16" s="946"/>
      <c r="S16" s="947"/>
      <c r="T16" s="945">
        <v>0</v>
      </c>
      <c r="U16" s="948"/>
      <c r="V16" s="945"/>
      <c r="Y16" s="906">
        <v>2.1</v>
      </c>
      <c r="Z16" s="907" t="s">
        <v>49</v>
      </c>
      <c r="AA16" s="913" t="s">
        <v>51</v>
      </c>
      <c r="AB16" s="945">
        <v>0.67310000000000003</v>
      </c>
      <c r="AC16" s="962" t="s">
        <v>52</v>
      </c>
      <c r="AD16" s="945">
        <v>0.54971872050799997</v>
      </c>
      <c r="AE16" s="963" t="s">
        <v>53</v>
      </c>
      <c r="AF16" s="964"/>
      <c r="AG16" s="1359">
        <v>0</v>
      </c>
      <c r="AH16" s="1362">
        <f>AF16</f>
        <v>0</v>
      </c>
      <c r="AI16" s="1365"/>
      <c r="AL16" s="906">
        <v>2.1</v>
      </c>
      <c r="AM16" s="907" t="s">
        <v>49</v>
      </c>
      <c r="AN16" s="991">
        <v>0.03</v>
      </c>
      <c r="AO16" s="945">
        <f>海景嘉福汇报报告!E140/10000</f>
        <v>0.26950000000000002</v>
      </c>
      <c r="AP16" s="1029"/>
      <c r="AQ16" s="1030">
        <f>海景嘉福汇报报告!J140/10000</f>
        <v>2.9702970297029702E-2</v>
      </c>
      <c r="AR16" s="962"/>
      <c r="AS16" s="945">
        <f>海景嘉福汇报报告!J140/10000</f>
        <v>2.9702970297029702E-2</v>
      </c>
      <c r="AT16" s="1029"/>
      <c r="AU16" s="1030">
        <f>海景嘉福汇报报告!M140/10000</f>
        <v>2.9702970297029702E-2</v>
      </c>
      <c r="AV16" s="1031">
        <f>AU16</f>
        <v>2.9702970297029702E-2</v>
      </c>
      <c r="AW16" s="1052"/>
      <c r="AX16" s="1053" t="s">
        <v>192</v>
      </c>
      <c r="AY16" s="962"/>
      <c r="AZ16" s="945">
        <f>海景嘉福汇报报告!R140/10000</f>
        <v>2.9702970297029702E-2</v>
      </c>
      <c r="BA16" s="913"/>
      <c r="BB16" s="945"/>
      <c r="BC16" s="962"/>
      <c r="BD16" s="945"/>
      <c r="BE16" s="1061"/>
      <c r="BF16" s="1030"/>
      <c r="BG16" s="1062"/>
      <c r="BH16" s="1063"/>
      <c r="BI16" s="1064"/>
      <c r="BJ16" s="414"/>
      <c r="BK16" s="906">
        <v>2.1</v>
      </c>
      <c r="BL16" s="907" t="s">
        <v>49</v>
      </c>
      <c r="BM16" s="1081"/>
      <c r="BN16" s="945">
        <f t="shared" si="1"/>
        <v>4.1006289999999996</v>
      </c>
      <c r="BO16" s="962"/>
      <c r="BP16" s="945"/>
      <c r="BQ16" s="962"/>
      <c r="BR16" s="945"/>
      <c r="BS16" s="1031">
        <f>AV16+J16+T16</f>
        <v>2.9702970297029702E-2</v>
      </c>
      <c r="BT16" s="1082">
        <f t="shared" si="2"/>
        <v>2.9702970297029702E-2</v>
      </c>
      <c r="BU16" s="1052">
        <f>BS16-BT16</f>
        <v>0</v>
      </c>
      <c r="BV16" s="1053" t="s">
        <v>55</v>
      </c>
    </row>
    <row r="17" spans="2:75" s="406" customFormat="1" ht="20.25" customHeight="1" x14ac:dyDescent="0.15">
      <c r="B17" s="906">
        <v>2.2000000000000002</v>
      </c>
      <c r="C17" s="907" t="s">
        <v>56</v>
      </c>
      <c r="D17" s="913" t="s">
        <v>57</v>
      </c>
      <c r="E17" s="909">
        <v>0.37590000000000001</v>
      </c>
      <c r="F17" s="914" t="s">
        <v>57</v>
      </c>
      <c r="G17" s="911">
        <v>0.44</v>
      </c>
      <c r="H17" s="912"/>
      <c r="I17" s="909">
        <v>0.03</v>
      </c>
      <c r="J17" s="932">
        <f t="shared" si="0"/>
        <v>0.03</v>
      </c>
      <c r="K17" s="933" t="s">
        <v>58</v>
      </c>
      <c r="N17" s="906">
        <v>2.2000000000000002</v>
      </c>
      <c r="O17" s="907" t="s">
        <v>56</v>
      </c>
      <c r="P17" s="913" t="s">
        <v>57</v>
      </c>
      <c r="Q17" s="945">
        <v>0.64907099999999995</v>
      </c>
      <c r="R17" s="949" t="s">
        <v>59</v>
      </c>
      <c r="S17" s="950">
        <f>S14*10%*2.2</f>
        <v>0.22</v>
      </c>
      <c r="T17" s="945">
        <v>0</v>
      </c>
      <c r="U17" s="948"/>
      <c r="V17" s="945"/>
      <c r="Y17" s="906">
        <v>2.2000000000000002</v>
      </c>
      <c r="Z17" s="965" t="s">
        <v>56</v>
      </c>
      <c r="AA17" s="913" t="s">
        <v>57</v>
      </c>
      <c r="AB17" s="945">
        <v>0.33589999999999998</v>
      </c>
      <c r="AC17" s="966"/>
      <c r="AD17" s="945">
        <v>0</v>
      </c>
      <c r="AE17" s="967"/>
      <c r="AF17" s="968"/>
      <c r="AG17" s="1360"/>
      <c r="AH17" s="1363"/>
      <c r="AI17" s="1366"/>
      <c r="AL17" s="906">
        <v>2.2000000000000002</v>
      </c>
      <c r="AM17" s="965" t="s">
        <v>56</v>
      </c>
      <c r="AN17" s="992">
        <v>1.4999999999999999E-2</v>
      </c>
      <c r="AO17" s="945">
        <f>海景嘉福汇报报告!E141/10000</f>
        <v>0.1153</v>
      </c>
      <c r="AP17" s="1029"/>
      <c r="AQ17" s="1030"/>
      <c r="AR17" s="966"/>
      <c r="AS17" s="945"/>
      <c r="AT17" s="1029"/>
      <c r="AU17" s="1030"/>
      <c r="AV17" s="1029"/>
      <c r="AW17" s="1054"/>
      <c r="AX17" s="1055"/>
      <c r="AY17" s="966"/>
      <c r="AZ17" s="945"/>
      <c r="BA17" s="913"/>
      <c r="BB17" s="945"/>
      <c r="BC17" s="966"/>
      <c r="BD17" s="945"/>
      <c r="BE17" s="1061"/>
      <c r="BF17" s="1030"/>
      <c r="BG17" s="1065"/>
      <c r="BH17" s="1066"/>
      <c r="BI17" s="1067"/>
      <c r="BJ17" s="414"/>
      <c r="BK17" s="906">
        <v>2.2000000000000002</v>
      </c>
      <c r="BL17" s="965" t="s">
        <v>56</v>
      </c>
      <c r="BM17" s="1081"/>
      <c r="BN17" s="945">
        <f t="shared" si="1"/>
        <v>1.4761709999999999</v>
      </c>
      <c r="BO17" s="966"/>
      <c r="BP17" s="945"/>
      <c r="BQ17" s="966"/>
      <c r="BR17" s="945"/>
      <c r="BS17" s="1029">
        <f>J17+U17+AV17</f>
        <v>0.03</v>
      </c>
      <c r="BT17" s="1083">
        <f t="shared" si="2"/>
        <v>0.03</v>
      </c>
      <c r="BU17" s="1052">
        <f>BS17-BT17</f>
        <v>0</v>
      </c>
      <c r="BV17" s="1053" t="s">
        <v>61</v>
      </c>
    </row>
    <row r="18" spans="2:75" s="406" customFormat="1" ht="19.5" x14ac:dyDescent="0.15">
      <c r="B18" s="906">
        <v>2.2999999999999998</v>
      </c>
      <c r="C18" s="907" t="s">
        <v>62</v>
      </c>
      <c r="D18" s="913" t="s">
        <v>63</v>
      </c>
      <c r="E18" s="909">
        <v>0.08</v>
      </c>
      <c r="F18" s="910"/>
      <c r="G18" s="911">
        <v>0</v>
      </c>
      <c r="H18" s="912"/>
      <c r="I18" s="909">
        <v>0</v>
      </c>
      <c r="J18" s="932"/>
      <c r="K18" s="909" t="s">
        <v>64</v>
      </c>
      <c r="N18" s="906">
        <v>2.2999999999999998</v>
      </c>
      <c r="O18" s="907" t="s">
        <v>62</v>
      </c>
      <c r="P18" s="908"/>
      <c r="Q18" s="945">
        <v>0</v>
      </c>
      <c r="R18" s="946"/>
      <c r="S18" s="947"/>
      <c r="T18" s="945">
        <v>0</v>
      </c>
      <c r="U18" s="948"/>
      <c r="V18" s="945"/>
      <c r="Y18" s="906">
        <v>2.2999999999999998</v>
      </c>
      <c r="Z18" s="907" t="s">
        <v>62</v>
      </c>
      <c r="AA18" s="908"/>
      <c r="AB18" s="945">
        <v>0</v>
      </c>
      <c r="AC18" s="962"/>
      <c r="AD18" s="945">
        <v>0</v>
      </c>
      <c r="AE18" s="967"/>
      <c r="AF18" s="968"/>
      <c r="AG18" s="1360"/>
      <c r="AH18" s="1363"/>
      <c r="AI18" s="1366"/>
      <c r="AL18" s="906">
        <v>2.4</v>
      </c>
      <c r="AM18" s="907" t="s">
        <v>66</v>
      </c>
      <c r="AN18" s="913" t="s">
        <v>193</v>
      </c>
      <c r="AO18" s="945">
        <f>海景嘉福汇报报告!E142/10000</f>
        <v>0.12497999999999999</v>
      </c>
      <c r="AP18" s="1029"/>
      <c r="AQ18" s="1030"/>
      <c r="AR18" s="966"/>
      <c r="AS18" s="945"/>
      <c r="AT18" s="1029"/>
      <c r="AU18" s="1030"/>
      <c r="AV18" s="1029">
        <f>海景嘉福汇报报告!R142/10000</f>
        <v>-0.82693373619908195</v>
      </c>
      <c r="AW18" s="1054"/>
      <c r="AX18" s="1055"/>
      <c r="AY18" s="966"/>
      <c r="AZ18" s="945"/>
      <c r="BA18" s="913"/>
      <c r="BB18" s="945"/>
      <c r="BC18" s="966"/>
      <c r="BD18" s="945"/>
      <c r="BE18" s="1061"/>
      <c r="BF18" s="1030"/>
      <c r="BG18" s="1065"/>
      <c r="BH18" s="1066"/>
      <c r="BI18" s="1067"/>
      <c r="BJ18" s="414"/>
      <c r="BK18" s="906">
        <v>2.4</v>
      </c>
      <c r="BL18" s="907" t="s">
        <v>66</v>
      </c>
      <c r="BM18" s="1081"/>
      <c r="BN18" s="945">
        <f>E19+Q19+AB19+AO18</f>
        <v>4.5004949999999999</v>
      </c>
      <c r="BO18" s="966"/>
      <c r="BP18" s="945"/>
      <c r="BQ18" s="966"/>
      <c r="BR18" s="945"/>
      <c r="BS18" s="1029">
        <f>J19+AV18</f>
        <v>-0.82693373619908195</v>
      </c>
      <c r="BT18" s="1083"/>
      <c r="BU18" s="1054">
        <f t="shared" ref="BU18:BU24" si="11">BS18</f>
        <v>-0.82693373619908195</v>
      </c>
      <c r="BV18" s="1055"/>
    </row>
    <row r="19" spans="2:75" s="406" customFormat="1" ht="19.5" x14ac:dyDescent="0.15">
      <c r="B19" s="906">
        <v>2.4</v>
      </c>
      <c r="C19" s="907" t="s">
        <v>66</v>
      </c>
      <c r="D19" s="913" t="s">
        <v>67</v>
      </c>
      <c r="E19" s="909">
        <v>0.95027499999999998</v>
      </c>
      <c r="F19" s="914" t="s">
        <v>67</v>
      </c>
      <c r="G19" s="911">
        <v>-1.2</v>
      </c>
      <c r="H19" s="912"/>
      <c r="I19" s="909">
        <v>0</v>
      </c>
      <c r="J19" s="932"/>
      <c r="K19" s="909" t="s">
        <v>68</v>
      </c>
      <c r="N19" s="906">
        <v>2.4</v>
      </c>
      <c r="O19" s="907" t="s">
        <v>66</v>
      </c>
      <c r="P19" s="913" t="s">
        <v>69</v>
      </c>
      <c r="Q19" s="945">
        <v>2.50014</v>
      </c>
      <c r="R19" s="946"/>
      <c r="S19" s="947"/>
      <c r="T19" s="945">
        <v>0</v>
      </c>
      <c r="U19" s="948"/>
      <c r="V19" s="945"/>
      <c r="Y19" s="906">
        <v>2.4</v>
      </c>
      <c r="Z19" s="907" t="s">
        <v>66</v>
      </c>
      <c r="AA19" s="913" t="s">
        <v>70</v>
      </c>
      <c r="AB19" s="945">
        <v>0.92510000000000003</v>
      </c>
      <c r="AC19" s="966" t="s">
        <v>70</v>
      </c>
      <c r="AD19" s="945">
        <v>1.0478461179088501</v>
      </c>
      <c r="AE19" s="967"/>
      <c r="AF19" s="968"/>
      <c r="AG19" s="1360"/>
      <c r="AH19" s="1363"/>
      <c r="AI19" s="1366"/>
      <c r="AL19" s="906">
        <v>2.5</v>
      </c>
      <c r="AM19" s="907" t="s">
        <v>74</v>
      </c>
      <c r="AN19" s="915"/>
      <c r="AO19" s="945"/>
      <c r="AP19" s="1029"/>
      <c r="AQ19" s="1030"/>
      <c r="AR19" s="948"/>
      <c r="AS19" s="945"/>
      <c r="AT19" s="1029"/>
      <c r="AU19" s="1030"/>
      <c r="AV19" s="1032"/>
      <c r="AW19" s="1056"/>
      <c r="AX19" s="1057"/>
      <c r="AY19" s="948"/>
      <c r="AZ19" s="945"/>
      <c r="BA19" s="915"/>
      <c r="BB19" s="945"/>
      <c r="BC19" s="948"/>
      <c r="BD19" s="945"/>
      <c r="BE19" s="1061"/>
      <c r="BF19" s="1030"/>
      <c r="BG19" s="1068"/>
      <c r="BH19" s="1069"/>
      <c r="BI19" s="1070"/>
      <c r="BJ19" s="414"/>
      <c r="BK19" s="906">
        <v>2.5</v>
      </c>
      <c r="BL19" s="907" t="s">
        <v>62</v>
      </c>
      <c r="BM19" s="1081"/>
      <c r="BN19" s="945">
        <f>E18+Q18+AB18</f>
        <v>0.08</v>
      </c>
      <c r="BO19" s="966"/>
      <c r="BP19" s="945">
        <f>G18+S18+AD18</f>
        <v>0</v>
      </c>
      <c r="BQ19" s="966"/>
      <c r="BR19" s="945"/>
      <c r="BS19" s="1029"/>
      <c r="BT19" s="1083"/>
      <c r="BU19" s="1054"/>
      <c r="BV19" s="1055"/>
    </row>
    <row r="20" spans="2:75" s="406" customFormat="1" x14ac:dyDescent="0.15">
      <c r="B20" s="906">
        <v>2.5</v>
      </c>
      <c r="C20" s="907" t="s">
        <v>72</v>
      </c>
      <c r="D20" s="915"/>
      <c r="E20" s="909"/>
      <c r="F20" s="912"/>
      <c r="G20" s="911">
        <v>-0.25</v>
      </c>
      <c r="H20" s="912"/>
      <c r="I20" s="909">
        <v>-0.1</v>
      </c>
      <c r="J20" s="932">
        <f>I20</f>
        <v>-0.1</v>
      </c>
      <c r="K20" s="909" t="s">
        <v>73</v>
      </c>
      <c r="N20" s="906">
        <v>2.5</v>
      </c>
      <c r="O20" s="907" t="s">
        <v>72</v>
      </c>
      <c r="P20" s="915"/>
      <c r="Q20" s="945"/>
      <c r="R20" s="946"/>
      <c r="S20" s="951"/>
      <c r="T20" s="945">
        <v>0</v>
      </c>
      <c r="U20" s="948"/>
      <c r="V20" s="945"/>
      <c r="Y20" s="906">
        <v>2.5</v>
      </c>
      <c r="Z20" s="907" t="s">
        <v>74</v>
      </c>
      <c r="AA20" s="915"/>
      <c r="AB20" s="945">
        <v>0</v>
      </c>
      <c r="AC20" s="948"/>
      <c r="AD20" s="945">
        <v>-0.2</v>
      </c>
      <c r="AE20" s="969"/>
      <c r="AF20" s="970"/>
      <c r="AG20" s="1361"/>
      <c r="AH20" s="1364"/>
      <c r="AI20" s="1367"/>
      <c r="AL20" s="906">
        <v>2.6</v>
      </c>
      <c r="AM20" s="907" t="s">
        <v>79</v>
      </c>
      <c r="AN20" s="915"/>
      <c r="AO20" s="945"/>
      <c r="AP20" s="1029"/>
      <c r="AQ20" s="1030"/>
      <c r="AR20" s="948"/>
      <c r="AS20" s="945"/>
      <c r="AT20" s="1029"/>
      <c r="AU20" s="1030"/>
      <c r="AV20" s="1033"/>
      <c r="AW20" s="994"/>
      <c r="AX20" s="995"/>
      <c r="AY20" s="948"/>
      <c r="AZ20" s="945"/>
      <c r="BA20" s="915"/>
      <c r="BB20" s="945"/>
      <c r="BC20" s="948"/>
      <c r="BD20" s="945"/>
      <c r="BE20" s="1071"/>
      <c r="BF20" s="1072"/>
      <c r="BG20" s="993"/>
      <c r="BH20" s="994"/>
      <c r="BI20" s="995"/>
      <c r="BJ20" s="414"/>
      <c r="BK20" s="906">
        <v>2.6</v>
      </c>
      <c r="BL20" s="907" t="s">
        <v>74</v>
      </c>
      <c r="BM20" s="915"/>
      <c r="BN20" s="945"/>
      <c r="BO20" s="948"/>
      <c r="BP20" s="945"/>
      <c r="BQ20" s="948"/>
      <c r="BR20" s="945"/>
      <c r="BS20" s="1029"/>
      <c r="BT20" s="1083"/>
      <c r="BU20" s="1054"/>
      <c r="BV20" s="1055"/>
    </row>
    <row r="21" spans="2:75" s="406" customFormat="1" ht="33" customHeight="1" x14ac:dyDescent="0.15">
      <c r="B21" s="906">
        <v>2.6</v>
      </c>
      <c r="C21" s="907" t="s">
        <v>76</v>
      </c>
      <c r="D21" s="915"/>
      <c r="E21" s="909">
        <v>1</v>
      </c>
      <c r="F21" s="912"/>
      <c r="G21" s="911">
        <v>0.62</v>
      </c>
      <c r="H21" s="912"/>
      <c r="I21" s="909">
        <v>0.62</v>
      </c>
      <c r="J21" s="932">
        <f>I21</f>
        <v>0.62</v>
      </c>
      <c r="K21" s="909" t="s">
        <v>77</v>
      </c>
      <c r="N21" s="906">
        <v>2.6</v>
      </c>
      <c r="O21" s="907" t="s">
        <v>76</v>
      </c>
      <c r="P21" s="915"/>
      <c r="Q21" s="945">
        <v>1</v>
      </c>
      <c r="R21" s="946"/>
      <c r="S21" s="951">
        <v>1</v>
      </c>
      <c r="T21" s="911">
        <v>1</v>
      </c>
      <c r="U21" s="952">
        <v>0</v>
      </c>
      <c r="V21" s="945" t="s">
        <v>78</v>
      </c>
      <c r="Y21" s="906">
        <v>2.6</v>
      </c>
      <c r="Z21" s="907" t="s">
        <v>79</v>
      </c>
      <c r="AA21" s="915"/>
      <c r="AB21" s="945"/>
      <c r="AC21" s="948"/>
      <c r="AD21" s="945"/>
      <c r="AE21" s="971" t="s">
        <v>80</v>
      </c>
      <c r="AF21" s="972">
        <f>80000*1%*20%/10000</f>
        <v>1.6E-2</v>
      </c>
      <c r="AG21" s="993"/>
      <c r="AH21" s="994"/>
      <c r="AI21" s="995"/>
      <c r="AL21" s="906">
        <v>2.7</v>
      </c>
      <c r="AM21" s="907" t="s">
        <v>86</v>
      </c>
      <c r="AN21" s="915"/>
      <c r="AO21" s="945"/>
      <c r="AP21" s="1029"/>
      <c r="AQ21" s="1030"/>
      <c r="AR21" s="948"/>
      <c r="AS21" s="945"/>
      <c r="AT21" s="1029"/>
      <c r="AU21" s="1030"/>
      <c r="AV21" s="1033"/>
      <c r="AW21" s="994"/>
      <c r="AX21" s="995"/>
      <c r="AY21" s="948"/>
      <c r="AZ21" s="945"/>
      <c r="BA21" s="915"/>
      <c r="BB21" s="945">
        <f>海景嘉福汇报报告!G154/10000</f>
        <v>2.5655181802999998</v>
      </c>
      <c r="BC21" s="948"/>
      <c r="BD21" s="945">
        <f>海景嘉福汇报报告!J154/10000</f>
        <v>2.5655181802999998</v>
      </c>
      <c r="BE21" s="1073"/>
      <c r="BF21" s="1074">
        <f>BD21</f>
        <v>2.5655181802999998</v>
      </c>
      <c r="BG21" s="993">
        <f>海景嘉福汇报报告!M163/10000</f>
        <v>2.3558335234999999</v>
      </c>
      <c r="BH21" s="994">
        <f>BF21-BG21</f>
        <v>0.20968465680000001</v>
      </c>
      <c r="BI21" s="995"/>
      <c r="BJ21" s="414"/>
      <c r="BK21" s="906">
        <v>2.7</v>
      </c>
      <c r="BL21" s="907" t="s">
        <v>72</v>
      </c>
      <c r="BM21" s="915"/>
      <c r="BN21" s="945"/>
      <c r="BO21" s="948"/>
      <c r="BP21" s="945"/>
      <c r="BQ21" s="948"/>
      <c r="BR21" s="945"/>
      <c r="BS21" s="1084">
        <f>J20</f>
        <v>-0.1</v>
      </c>
      <c r="BT21" s="1085">
        <f>BS21</f>
        <v>-0.1</v>
      </c>
      <c r="BU21" s="1090"/>
      <c r="BV21" s="1053" t="s">
        <v>82</v>
      </c>
      <c r="BW21" s="881"/>
    </row>
    <row r="22" spans="2:75" s="881" customFormat="1" ht="39" x14ac:dyDescent="0.15">
      <c r="B22" s="901" t="s">
        <v>83</v>
      </c>
      <c r="C22" s="902" t="s">
        <v>84</v>
      </c>
      <c r="D22" s="903"/>
      <c r="E22" s="916">
        <f t="shared" ref="E22:I22" si="12">E15-E14</f>
        <v>2.6170749999999998</v>
      </c>
      <c r="F22" s="917"/>
      <c r="G22" s="918">
        <f t="shared" si="12"/>
        <v>-0.25</v>
      </c>
      <c r="H22" s="919"/>
      <c r="I22" s="934">
        <f t="shared" si="12"/>
        <v>-7.0000000000000007E-2</v>
      </c>
      <c r="J22" s="919">
        <f>+I22</f>
        <v>-7.0000000000000007E-2</v>
      </c>
      <c r="K22" s="904"/>
      <c r="N22" s="901" t="s">
        <v>83</v>
      </c>
      <c r="O22" s="902" t="s">
        <v>84</v>
      </c>
      <c r="P22" s="903"/>
      <c r="Q22" s="916">
        <f t="shared" ref="Q22:U22" si="13">Q15-Q14</f>
        <v>5.0963399999999996</v>
      </c>
      <c r="R22" s="953"/>
      <c r="S22" s="926">
        <f t="shared" si="13"/>
        <v>0.22</v>
      </c>
      <c r="T22" s="954">
        <f t="shared" si="13"/>
        <v>0</v>
      </c>
      <c r="U22" s="944">
        <f t="shared" si="13"/>
        <v>-1</v>
      </c>
      <c r="V22" s="954" t="s">
        <v>85</v>
      </c>
      <c r="Y22" s="906">
        <v>2.7</v>
      </c>
      <c r="Z22" s="907" t="s">
        <v>86</v>
      </c>
      <c r="AA22" s="915"/>
      <c r="AB22" s="945"/>
      <c r="AC22" s="948"/>
      <c r="AD22" s="945"/>
      <c r="AE22" s="973" t="s">
        <v>87</v>
      </c>
      <c r="AF22" s="974">
        <v>1.4</v>
      </c>
      <c r="AG22" s="993"/>
      <c r="AH22" s="994">
        <f>AF22</f>
        <v>1.4</v>
      </c>
      <c r="AI22" s="995" t="s">
        <v>88</v>
      </c>
      <c r="AL22" s="906">
        <v>2.8</v>
      </c>
      <c r="AM22" s="907" t="s">
        <v>91</v>
      </c>
      <c r="AN22" s="915"/>
      <c r="AO22" s="945"/>
      <c r="AP22" s="1029"/>
      <c r="AQ22" s="1030"/>
      <c r="AR22" s="948"/>
      <c r="AS22" s="945"/>
      <c r="AT22" s="1029"/>
      <c r="AU22" s="1030"/>
      <c r="AV22" s="1033"/>
      <c r="AW22" s="994"/>
      <c r="AX22" s="995"/>
      <c r="AY22" s="948"/>
      <c r="AZ22" s="945"/>
      <c r="BA22" s="915"/>
      <c r="BB22" s="945"/>
      <c r="BC22" s="948"/>
      <c r="BD22" s="945"/>
      <c r="BE22" s="1073"/>
      <c r="BF22" s="1075"/>
      <c r="BG22" s="993"/>
      <c r="BH22" s="994"/>
      <c r="BI22" s="995"/>
      <c r="BJ22" s="414"/>
      <c r="BK22" s="906">
        <v>2.8</v>
      </c>
      <c r="BL22" s="907" t="s">
        <v>79</v>
      </c>
      <c r="BM22" s="915"/>
      <c r="BN22" s="945"/>
      <c r="BO22" s="948"/>
      <c r="BP22" s="945"/>
      <c r="BQ22" s="948"/>
      <c r="BR22" s="945"/>
      <c r="BS22" s="1086">
        <f t="shared" ref="BS22:BS24" si="14">AF21</f>
        <v>1.6E-2</v>
      </c>
      <c r="BT22" s="1087"/>
      <c r="BU22" s="1091">
        <f t="shared" si="11"/>
        <v>1.6E-2</v>
      </c>
      <c r="BV22" s="1092"/>
    </row>
    <row r="23" spans="2:75" s="881" customFormat="1" ht="29.25" x14ac:dyDescent="0.15">
      <c r="B23" s="920"/>
      <c r="C23" s="921" t="s">
        <v>90</v>
      </c>
      <c r="D23" s="922"/>
      <c r="E23" s="923">
        <f t="shared" ref="E23:I23" si="15">E22/E14</f>
        <v>2.6170749999999998</v>
      </c>
      <c r="F23" s="924"/>
      <c r="G23" s="925">
        <f t="shared" si="15"/>
        <v>-0.40322580645161299</v>
      </c>
      <c r="H23" s="926"/>
      <c r="I23" s="925">
        <f t="shared" si="15"/>
        <v>-0.112903225806452</v>
      </c>
      <c r="J23" s="935">
        <f>+I23</f>
        <v>-0.112903225806452</v>
      </c>
      <c r="K23" s="936"/>
      <c r="N23" s="920"/>
      <c r="O23" s="921" t="s">
        <v>90</v>
      </c>
      <c r="P23" s="922"/>
      <c r="Q23" s="923">
        <f t="shared" ref="Q23:U23" si="16">Q22/Q14</f>
        <v>5.0963399999999996</v>
      </c>
      <c r="R23" s="935"/>
      <c r="S23" s="935">
        <f t="shared" si="16"/>
        <v>0.22</v>
      </c>
      <c r="T23" s="925">
        <f t="shared" si="16"/>
        <v>0</v>
      </c>
      <c r="U23" s="955">
        <f t="shared" si="16"/>
        <v>-1</v>
      </c>
      <c r="V23" s="925"/>
      <c r="Y23" s="906">
        <v>2.8</v>
      </c>
      <c r="Z23" s="907" t="s">
        <v>91</v>
      </c>
      <c r="AA23" s="915"/>
      <c r="AB23" s="945"/>
      <c r="AC23" s="948"/>
      <c r="AD23" s="945"/>
      <c r="AE23" s="973" t="s">
        <v>92</v>
      </c>
      <c r="AF23" s="975">
        <v>0.4</v>
      </c>
      <c r="AG23" s="993"/>
      <c r="AH23" s="994"/>
      <c r="AI23" s="995"/>
      <c r="AL23" s="906">
        <v>2.9</v>
      </c>
      <c r="AM23" s="907" t="s">
        <v>76</v>
      </c>
      <c r="AN23" s="915"/>
      <c r="AO23" s="945">
        <f>AO14</f>
        <v>0.6</v>
      </c>
      <c r="AP23" s="1029"/>
      <c r="AQ23" s="1030"/>
      <c r="AR23" s="948"/>
      <c r="AS23" s="945"/>
      <c r="AT23" s="1029"/>
      <c r="AU23" s="1030"/>
      <c r="AV23" s="1034">
        <v>0</v>
      </c>
      <c r="AW23" s="997">
        <f>AU14</f>
        <v>1.2748842965</v>
      </c>
      <c r="AX23" s="998" t="s">
        <v>194</v>
      </c>
      <c r="AY23" s="948"/>
      <c r="AZ23" s="945">
        <f>海景嘉福汇报报告!R150/10000</f>
        <v>0.44795056030091801</v>
      </c>
      <c r="BA23" s="915"/>
      <c r="BB23" s="945">
        <f>BB14</f>
        <v>0.43448181969999999</v>
      </c>
      <c r="BC23" s="948"/>
      <c r="BD23" s="945">
        <f>BD14</f>
        <v>0.43448181969999999</v>
      </c>
      <c r="BE23" s="1076"/>
      <c r="BF23" s="1030">
        <f>BD23</f>
        <v>0.43448181969999999</v>
      </c>
      <c r="BG23" s="996">
        <f>BF23</f>
        <v>0.43448181969999999</v>
      </c>
      <c r="BH23" s="997">
        <f>BF23-BG23</f>
        <v>0</v>
      </c>
      <c r="BI23" s="998" t="s">
        <v>77</v>
      </c>
      <c r="BJ23" s="414"/>
      <c r="BK23" s="906">
        <v>2.9</v>
      </c>
      <c r="BL23" s="907" t="s">
        <v>86</v>
      </c>
      <c r="BM23" s="915"/>
      <c r="BN23" s="945"/>
      <c r="BO23" s="948"/>
      <c r="BP23" s="945"/>
      <c r="BQ23" s="948"/>
      <c r="BR23" s="945"/>
      <c r="BS23" s="993">
        <f t="shared" si="14"/>
        <v>1.4</v>
      </c>
      <c r="BT23" s="993"/>
      <c r="BU23" s="994">
        <f t="shared" si="11"/>
        <v>1.4</v>
      </c>
      <c r="BV23" s="995" t="s">
        <v>94</v>
      </c>
      <c r="BW23" s="414"/>
    </row>
    <row r="24" spans="2:75" s="414" customFormat="1" ht="111" customHeight="1" x14ac:dyDescent="0.15">
      <c r="B24" s="1315" t="s">
        <v>95</v>
      </c>
      <c r="C24" s="1316"/>
      <c r="D24" s="1316"/>
      <c r="E24" s="1316"/>
      <c r="F24" s="1316"/>
      <c r="G24" s="1316"/>
      <c r="H24" s="1316"/>
      <c r="I24" s="1316"/>
      <c r="J24" s="1316"/>
      <c r="K24" s="1317"/>
      <c r="N24" s="1315" t="s">
        <v>96</v>
      </c>
      <c r="O24" s="1316"/>
      <c r="P24" s="1316"/>
      <c r="Q24" s="1316"/>
      <c r="R24" s="1316"/>
      <c r="S24" s="1316"/>
      <c r="T24" s="1316"/>
      <c r="U24" s="1316"/>
      <c r="V24" s="1317"/>
      <c r="Y24" s="906">
        <v>2.9</v>
      </c>
      <c r="Z24" s="907" t="s">
        <v>76</v>
      </c>
      <c r="AA24" s="915"/>
      <c r="AB24" s="945">
        <f>AB14</f>
        <v>0.875</v>
      </c>
      <c r="AC24" s="948"/>
      <c r="AD24" s="945">
        <f>AD14</f>
        <v>1.2205999999999999</v>
      </c>
      <c r="AE24" s="976"/>
      <c r="AF24" s="945">
        <v>1.2205999999999999</v>
      </c>
      <c r="AG24" s="996">
        <v>0.3</v>
      </c>
      <c r="AH24" s="997">
        <f>AF24-AG24</f>
        <v>0.92059999999999997</v>
      </c>
      <c r="AI24" s="998" t="s">
        <v>97</v>
      </c>
      <c r="AL24" s="901" t="s">
        <v>83</v>
      </c>
      <c r="AM24" s="902" t="s">
        <v>84</v>
      </c>
      <c r="AN24" s="903"/>
      <c r="AO24" s="916">
        <f t="shared" ref="AO24:AS24" si="17">AO15-AO14</f>
        <v>0.50978000000000001</v>
      </c>
      <c r="AP24" s="1035"/>
      <c r="AQ24" s="1036">
        <f t="shared" si="17"/>
        <v>-0.76890553540297002</v>
      </c>
      <c r="AR24" s="917"/>
      <c r="AS24" s="1036">
        <f t="shared" si="17"/>
        <v>-0.797230765902052</v>
      </c>
      <c r="AT24" s="1037"/>
      <c r="AU24" s="1036">
        <f>AU15-AU14</f>
        <v>-1.2451813262029701</v>
      </c>
      <c r="AV24" s="999"/>
      <c r="AW24" s="1000"/>
      <c r="AX24" s="1001"/>
      <c r="AY24" s="917"/>
      <c r="AZ24" s="1036">
        <f t="shared" ref="AZ24:BD24" si="18">AZ15-AZ14</f>
        <v>-0.797230765902052</v>
      </c>
      <c r="BA24" s="903"/>
      <c r="BB24" s="916">
        <f t="shared" si="18"/>
        <v>2.5655181802999998</v>
      </c>
      <c r="BC24" s="917"/>
      <c r="BD24" s="916">
        <f t="shared" si="18"/>
        <v>2.5655181802999998</v>
      </c>
      <c r="BE24" s="1077"/>
      <c r="BF24" s="916">
        <f>BF15-BF14</f>
        <v>2.5655181802999998</v>
      </c>
      <c r="BG24" s="999"/>
      <c r="BH24" s="1000"/>
      <c r="BI24" s="1001"/>
      <c r="BK24" s="1078">
        <v>2.1</v>
      </c>
      <c r="BL24" s="907" t="s">
        <v>91</v>
      </c>
      <c r="BM24" s="915"/>
      <c r="BN24" s="945"/>
      <c r="BO24" s="948"/>
      <c r="BP24" s="945"/>
      <c r="BQ24" s="948"/>
      <c r="BR24" s="945"/>
      <c r="BS24" s="993">
        <f t="shared" si="14"/>
        <v>0.4</v>
      </c>
      <c r="BT24" s="993"/>
      <c r="BU24" s="994">
        <f t="shared" si="11"/>
        <v>0.4</v>
      </c>
      <c r="BV24" s="995"/>
    </row>
    <row r="25" spans="2:75" s="414" customFormat="1" x14ac:dyDescent="0.15">
      <c r="B25" s="415"/>
      <c r="D25" s="415"/>
      <c r="E25" s="927"/>
      <c r="G25" s="927"/>
      <c r="I25" s="927"/>
      <c r="N25" s="1318"/>
      <c r="O25" s="1318"/>
      <c r="P25" s="1318"/>
      <c r="Q25" s="1318"/>
      <c r="R25" s="1318"/>
      <c r="S25" s="1318"/>
      <c r="T25" s="1318"/>
      <c r="U25" s="1318"/>
      <c r="V25" s="1318"/>
      <c r="Y25" s="901" t="s">
        <v>83</v>
      </c>
      <c r="Z25" s="902" t="s">
        <v>84</v>
      </c>
      <c r="AA25" s="903"/>
      <c r="AB25" s="916">
        <f t="shared" ref="AB25:AH25" si="19">AB15-AB14</f>
        <v>1.9340999999999999</v>
      </c>
      <c r="AC25" s="917"/>
      <c r="AD25" s="954">
        <f t="shared" si="19"/>
        <v>1.39756483841685</v>
      </c>
      <c r="AE25" s="977"/>
      <c r="AF25" s="954">
        <f t="shared" si="19"/>
        <v>1.8160000000000001</v>
      </c>
      <c r="AG25" s="999">
        <f t="shared" si="19"/>
        <v>-0.92059999999999997</v>
      </c>
      <c r="AH25" s="1000">
        <f t="shared" si="19"/>
        <v>2.7366000000000001</v>
      </c>
      <c r="AI25" s="1001"/>
      <c r="AL25" s="920"/>
      <c r="AM25" s="921" t="s">
        <v>90</v>
      </c>
      <c r="AN25" s="922"/>
      <c r="AO25" s="923">
        <f t="shared" ref="AO25:AS25" si="20">AO24/AO14</f>
        <v>0.84963333333333302</v>
      </c>
      <c r="AP25" s="1002"/>
      <c r="AQ25" s="1002">
        <f t="shared" si="20"/>
        <v>-0.96280659411335201</v>
      </c>
      <c r="AR25" s="924"/>
      <c r="AS25" s="978">
        <f t="shared" si="20"/>
        <v>-0.96408059195461504</v>
      </c>
      <c r="AT25" s="1038"/>
      <c r="AU25" s="1039">
        <f>AU24/AU14</f>
        <v>-0.97670143841400003</v>
      </c>
      <c r="AV25" s="1002"/>
      <c r="AW25" s="1003"/>
      <c r="AX25" s="1004"/>
      <c r="AY25" s="924"/>
      <c r="AZ25" s="978">
        <f t="shared" ref="AZ25:BD25" si="21">AZ24/AZ14</f>
        <v>-0.62533577995330802</v>
      </c>
      <c r="BA25" s="922"/>
      <c r="BB25" s="923">
        <f t="shared" si="21"/>
        <v>5.9047768260394298</v>
      </c>
      <c r="BC25" s="924"/>
      <c r="BD25" s="923">
        <f t="shared" si="21"/>
        <v>5.9047768260394298</v>
      </c>
      <c r="BE25" s="979"/>
      <c r="BF25" s="923">
        <f>BF24/BF14</f>
        <v>5.9047768260394298</v>
      </c>
      <c r="BG25" s="1002"/>
      <c r="BH25" s="1003"/>
      <c r="BI25" s="1004"/>
      <c r="BK25" s="1078">
        <v>2.11</v>
      </c>
      <c r="BL25" s="907" t="s">
        <v>76</v>
      </c>
      <c r="BM25" s="1088">
        <f>BM14</f>
        <v>0</v>
      </c>
      <c r="BN25" s="945"/>
      <c r="BO25" s="948"/>
      <c r="BP25" s="945"/>
      <c r="BQ25" s="976"/>
      <c r="BR25" s="945"/>
      <c r="BS25" s="996">
        <f>BS14</f>
        <v>4.1154842965</v>
      </c>
      <c r="BT25" s="996">
        <f>J21+U21+AG24+AV23</f>
        <v>0.92</v>
      </c>
      <c r="BU25" s="997">
        <f>BS25-BT25</f>
        <v>3.1954842965000001</v>
      </c>
      <c r="BV25" s="998" t="s">
        <v>100</v>
      </c>
    </row>
    <row r="26" spans="2:75" s="414" customFormat="1" ht="22.5" customHeight="1" x14ac:dyDescent="0.15">
      <c r="B26" s="415"/>
      <c r="D26" s="415"/>
      <c r="E26" s="927"/>
      <c r="G26" s="927"/>
      <c r="I26" s="927"/>
      <c r="Y26" s="920"/>
      <c r="Z26" s="921" t="s">
        <v>90</v>
      </c>
      <c r="AA26" s="922"/>
      <c r="AB26" s="923">
        <f t="shared" ref="AB26:AF26" si="22">AB25/AB14</f>
        <v>2.2103999999999999</v>
      </c>
      <c r="AC26" s="924"/>
      <c r="AD26" s="978">
        <f t="shared" si="22"/>
        <v>1.1449818436972401</v>
      </c>
      <c r="AE26" s="979"/>
      <c r="AF26" s="978">
        <f t="shared" si="22"/>
        <v>1.4877928887432399</v>
      </c>
      <c r="AG26" s="1002"/>
      <c r="AH26" s="1003"/>
      <c r="AI26" s="1004"/>
      <c r="AL26" s="1379" t="s">
        <v>195</v>
      </c>
      <c r="AM26" s="1380"/>
      <c r="AN26" s="1380"/>
      <c r="AO26" s="1380"/>
      <c r="AP26" s="1380"/>
      <c r="AQ26" s="1380"/>
      <c r="AR26" s="1380"/>
      <c r="AS26" s="1380"/>
      <c r="AT26" s="1380"/>
      <c r="AU26" s="1380"/>
      <c r="AV26" s="1380"/>
      <c r="AW26" s="1380"/>
      <c r="AX26" s="1380"/>
      <c r="AY26" s="1380"/>
      <c r="AZ26" s="1381"/>
      <c r="BK26" s="901" t="s">
        <v>83</v>
      </c>
      <c r="BL26" s="902" t="s">
        <v>84</v>
      </c>
      <c r="BM26" s="1080">
        <f t="shared" ref="BM26:BP26" si="23">BM15-BM14</f>
        <v>0</v>
      </c>
      <c r="BN26" s="916">
        <f t="shared" si="23"/>
        <v>6.6822949999999999</v>
      </c>
      <c r="BO26" s="917"/>
      <c r="BP26" s="954">
        <f t="shared" si="23"/>
        <v>0</v>
      </c>
      <c r="BQ26" s="977"/>
      <c r="BR26" s="954">
        <f t="shared" ref="BR26:BU26" si="24">BR15-BR14</f>
        <v>0</v>
      </c>
      <c r="BS26" s="1089">
        <f t="shared" si="24"/>
        <v>0.948769234097949</v>
      </c>
      <c r="BT26" s="999">
        <f t="shared" si="24"/>
        <v>-3.2357813262029702</v>
      </c>
      <c r="BU26" s="1000">
        <f t="shared" si="24"/>
        <v>4.1845505603009201</v>
      </c>
      <c r="BV26" s="1001"/>
    </row>
    <row r="27" spans="2:75" s="414" customFormat="1" ht="85.15" customHeight="1" x14ac:dyDescent="0.15">
      <c r="B27" s="415"/>
      <c r="D27" s="415"/>
      <c r="E27" s="927"/>
      <c r="G27" s="927"/>
      <c r="I27" s="927"/>
      <c r="Y27" s="1321" t="s">
        <v>102</v>
      </c>
      <c r="Z27" s="1322"/>
      <c r="AA27" s="1322"/>
      <c r="AB27" s="1322"/>
      <c r="AC27" s="1322"/>
      <c r="AD27" s="1322"/>
      <c r="AE27" s="1323"/>
      <c r="AF27" s="1322"/>
      <c r="AG27" s="1322"/>
      <c r="AH27" s="1322"/>
      <c r="AI27" s="1324"/>
      <c r="AL27" s="1005" t="s">
        <v>181</v>
      </c>
      <c r="AM27" s="1006"/>
      <c r="AN27" s="1007"/>
      <c r="AO27" s="1040"/>
      <c r="AP27" s="1040"/>
      <c r="AQ27" s="1040"/>
      <c r="AR27" s="1041"/>
      <c r="BK27" s="920"/>
      <c r="BL27" s="921" t="s">
        <v>90</v>
      </c>
      <c r="BM27" s="922"/>
      <c r="BN27" s="923">
        <f t="shared" ref="BN27:BS27" si="25">BN26/BN14</f>
        <v>1.92296258992806</v>
      </c>
      <c r="BO27" s="924"/>
      <c r="BP27" s="978" t="e">
        <f t="shared" si="25"/>
        <v>#DIV/0!</v>
      </c>
      <c r="BQ27" s="979"/>
      <c r="BR27" s="978" t="e">
        <f t="shared" si="25"/>
        <v>#DIV/0!</v>
      </c>
      <c r="BS27" s="1002">
        <f t="shared" si="25"/>
        <v>0.23053647292612101</v>
      </c>
      <c r="BT27" s="1002"/>
      <c r="BU27" s="1003"/>
      <c r="BV27" s="1004"/>
    </row>
    <row r="28" spans="2:75" s="414" customFormat="1" x14ac:dyDescent="0.15">
      <c r="B28" s="415"/>
      <c r="D28" s="415"/>
      <c r="E28" s="888"/>
      <c r="AE28" s="956"/>
      <c r="AM28" s="1008"/>
      <c r="AN28" s="1008"/>
      <c r="AO28" s="1042"/>
      <c r="AP28" s="1042"/>
      <c r="AQ28" s="1042"/>
      <c r="AR28" s="1042"/>
      <c r="BK28" s="1321"/>
      <c r="BL28" s="1322"/>
      <c r="BM28" s="1322"/>
      <c r="BN28" s="1322"/>
      <c r="BO28" s="1322"/>
      <c r="BP28" s="1322"/>
      <c r="BQ28" s="1323"/>
      <c r="BR28" s="1322"/>
      <c r="BS28" s="1322"/>
      <c r="BT28" s="1322"/>
      <c r="BU28" s="1322"/>
      <c r="BV28" s="1324"/>
    </row>
    <row r="29" spans="2:75" s="414" customFormat="1" x14ac:dyDescent="0.15">
      <c r="B29" s="415"/>
      <c r="D29" s="415"/>
      <c r="E29" s="888"/>
      <c r="AE29" s="956"/>
      <c r="AM29" s="1006"/>
      <c r="AN29" s="1007"/>
      <c r="AO29" s="1040"/>
      <c r="AP29" s="1040"/>
      <c r="AQ29" s="1040"/>
      <c r="AR29" s="1041"/>
    </row>
    <row r="30" spans="2:75" s="414" customFormat="1" x14ac:dyDescent="0.15">
      <c r="B30" s="415"/>
      <c r="D30" s="415"/>
      <c r="E30" s="888"/>
      <c r="AE30" s="956"/>
      <c r="AM30" s="1009"/>
      <c r="AN30" s="1010"/>
      <c r="AO30" s="1043"/>
      <c r="AP30" s="1043"/>
      <c r="AQ30" s="1043"/>
      <c r="AR30" s="1044"/>
    </row>
    <row r="31" spans="2:75" s="414" customFormat="1" x14ac:dyDescent="0.15">
      <c r="B31" s="415"/>
      <c r="D31" s="415"/>
      <c r="E31" s="888"/>
      <c r="AE31" s="956"/>
      <c r="AM31" s="1009"/>
      <c r="AN31" s="1010"/>
      <c r="AO31" s="1043"/>
      <c r="AP31" s="1043"/>
      <c r="AQ31" s="1043"/>
      <c r="AR31" s="1044"/>
    </row>
    <row r="32" spans="2:75" s="414" customFormat="1" x14ac:dyDescent="0.15">
      <c r="B32" s="415"/>
      <c r="D32" s="415"/>
      <c r="E32" s="888"/>
      <c r="AE32" s="956"/>
      <c r="AM32" s="1009"/>
      <c r="AN32" s="1010"/>
      <c r="AO32" s="1043"/>
      <c r="AP32" s="1043"/>
      <c r="AQ32" s="1043"/>
      <c r="AR32" s="1044"/>
    </row>
    <row r="33" spans="2:45" s="414" customFormat="1" x14ac:dyDescent="0.15">
      <c r="B33" s="415"/>
      <c r="D33" s="415"/>
      <c r="E33" s="888"/>
      <c r="AE33" s="956"/>
      <c r="AM33" s="1009"/>
      <c r="AN33" s="1010"/>
      <c r="AO33" s="1043"/>
      <c r="AP33" s="1043"/>
      <c r="AQ33" s="1043"/>
      <c r="AR33" s="1044"/>
    </row>
    <row r="34" spans="2:45" s="414" customFormat="1" x14ac:dyDescent="0.15">
      <c r="B34" s="415"/>
      <c r="D34" s="415"/>
      <c r="E34" s="888"/>
      <c r="AE34" s="956"/>
      <c r="AM34" s="1009"/>
      <c r="AN34" s="1010"/>
      <c r="AO34" s="1043"/>
      <c r="AP34" s="1043"/>
      <c r="AQ34" s="1043"/>
      <c r="AR34" s="1043"/>
    </row>
    <row r="35" spans="2:45" s="414" customFormat="1" x14ac:dyDescent="0.15">
      <c r="B35" s="415"/>
      <c r="D35" s="415"/>
      <c r="E35" s="888"/>
      <c r="Y35" s="980"/>
      <c r="AE35" s="956"/>
      <c r="AM35" s="1009"/>
      <c r="AN35" s="1010"/>
      <c r="AO35" s="1043"/>
      <c r="AP35" s="1043"/>
      <c r="AQ35" s="1043"/>
      <c r="AR35" s="1043"/>
    </row>
    <row r="36" spans="2:45" s="414" customFormat="1" x14ac:dyDescent="0.15">
      <c r="B36" s="415"/>
      <c r="D36" s="415"/>
      <c r="E36" s="888"/>
      <c r="AE36" s="956"/>
      <c r="AM36" s="1009"/>
      <c r="AN36" s="1010"/>
      <c r="AO36" s="1043"/>
      <c r="AP36" s="1043"/>
      <c r="AQ36" s="1043"/>
      <c r="AR36" s="1043"/>
    </row>
    <row r="37" spans="2:45" s="414" customFormat="1" x14ac:dyDescent="0.15">
      <c r="B37" s="415"/>
      <c r="D37" s="415"/>
      <c r="E37" s="888"/>
      <c r="AE37" s="956"/>
      <c r="AM37" s="1009"/>
      <c r="AN37" s="1010"/>
      <c r="AO37" s="1043"/>
      <c r="AP37" s="1043"/>
      <c r="AQ37" s="1043"/>
      <c r="AR37" s="1043"/>
    </row>
    <row r="38" spans="2:45" s="414" customFormat="1" x14ac:dyDescent="0.15">
      <c r="B38" s="415"/>
      <c r="D38" s="415"/>
      <c r="E38" s="888"/>
      <c r="AE38" s="956"/>
      <c r="AM38" s="1006"/>
      <c r="AN38" s="1011"/>
      <c r="AO38" s="1040"/>
      <c r="AP38" s="1040"/>
      <c r="AQ38" s="1040"/>
      <c r="AR38" s="1040"/>
    </row>
    <row r="39" spans="2:45" s="414" customFormat="1" x14ac:dyDescent="0.15">
      <c r="B39" s="415"/>
      <c r="D39" s="415"/>
      <c r="E39" s="888"/>
      <c r="AE39" s="956"/>
      <c r="AM39" s="1009"/>
      <c r="AN39" s="1010"/>
      <c r="AO39" s="1043"/>
      <c r="AP39" s="1043"/>
      <c r="AQ39" s="1043"/>
      <c r="AR39" s="1043"/>
    </row>
    <row r="40" spans="2:45" s="414" customFormat="1" x14ac:dyDescent="0.15">
      <c r="B40" s="415"/>
      <c r="D40" s="415"/>
      <c r="E40" s="888"/>
      <c r="AE40" s="956"/>
      <c r="AM40" s="1009"/>
      <c r="AN40" s="1010"/>
      <c r="AO40" s="1043"/>
      <c r="AP40" s="1043"/>
      <c r="AQ40" s="1043"/>
      <c r="AR40" s="1043"/>
    </row>
    <row r="41" spans="2:45" s="414" customFormat="1" x14ac:dyDescent="0.15">
      <c r="B41" s="415"/>
      <c r="D41" s="415"/>
      <c r="E41" s="888"/>
      <c r="AE41" s="956"/>
      <c r="AM41" s="1009"/>
      <c r="AN41" s="1010"/>
      <c r="AO41" s="1043"/>
      <c r="AP41" s="1043"/>
      <c r="AQ41" s="1043"/>
      <c r="AR41" s="1043"/>
    </row>
    <row r="42" spans="2:45" s="414" customFormat="1" x14ac:dyDescent="0.15">
      <c r="B42" s="415"/>
      <c r="D42" s="415"/>
      <c r="E42" s="888"/>
      <c r="AE42" s="956"/>
      <c r="AM42" s="1009"/>
      <c r="AN42" s="1010"/>
      <c r="AO42" s="1043"/>
      <c r="AP42" s="1043"/>
      <c r="AQ42" s="1043"/>
      <c r="AR42" s="1043"/>
    </row>
    <row r="43" spans="2:45" s="414" customFormat="1" x14ac:dyDescent="0.15">
      <c r="B43" s="415"/>
      <c r="D43" s="415"/>
      <c r="E43" s="888"/>
      <c r="AE43" s="956"/>
      <c r="AM43" s="1009"/>
      <c r="AN43" s="1010"/>
      <c r="AO43" s="1043"/>
      <c r="AP43" s="1043"/>
      <c r="AQ43" s="1043"/>
      <c r="AR43" s="1043"/>
    </row>
    <row r="44" spans="2:45" s="414" customFormat="1" x14ac:dyDescent="0.15">
      <c r="B44" s="415"/>
      <c r="D44" s="415"/>
      <c r="E44" s="888"/>
      <c r="AE44" s="956"/>
      <c r="AM44" s="1008"/>
      <c r="AN44" s="1012"/>
      <c r="AO44" s="1045"/>
      <c r="AP44" s="1045"/>
      <c r="AQ44" s="1045"/>
      <c r="AR44" s="1045"/>
      <c r="AS44" s="980"/>
    </row>
    <row r="45" spans="2:45" s="414" customFormat="1" x14ac:dyDescent="0.15">
      <c r="B45" s="415"/>
      <c r="D45" s="415"/>
      <c r="E45" s="888"/>
      <c r="AE45" s="956"/>
      <c r="AM45" s="1008"/>
      <c r="AN45" s="1013"/>
      <c r="AO45" s="1045"/>
      <c r="AP45" s="1045"/>
      <c r="AQ45" s="1045"/>
      <c r="AR45" s="1045"/>
    </row>
    <row r="46" spans="2:45" s="414" customFormat="1" x14ac:dyDescent="0.15">
      <c r="B46" s="415"/>
      <c r="D46" s="415"/>
      <c r="E46" s="888"/>
      <c r="AE46" s="956"/>
      <c r="AM46" s="1009"/>
      <c r="AN46" s="1014"/>
      <c r="AO46" s="1043"/>
      <c r="AP46" s="1043"/>
      <c r="AQ46" s="1043"/>
      <c r="AR46" s="1043"/>
    </row>
    <row r="47" spans="2:45" s="414" customFormat="1" x14ac:dyDescent="0.15">
      <c r="B47" s="415"/>
      <c r="D47" s="415"/>
      <c r="E47" s="888"/>
      <c r="AE47" s="956"/>
      <c r="AM47" s="1009"/>
      <c r="AN47" s="1009"/>
      <c r="AO47" s="1043"/>
      <c r="AP47" s="1043"/>
      <c r="AQ47" s="1043"/>
      <c r="AR47" s="1043"/>
    </row>
    <row r="48" spans="2:45" s="414" customFormat="1" x14ac:dyDescent="0.15">
      <c r="B48" s="415"/>
      <c r="D48" s="415"/>
      <c r="E48" s="888"/>
      <c r="AE48" s="956"/>
      <c r="AM48" s="1009"/>
      <c r="AN48" s="1009"/>
      <c r="AO48" s="1043"/>
      <c r="AP48" s="1043"/>
      <c r="AQ48" s="1043"/>
      <c r="AR48" s="1043"/>
    </row>
    <row r="49" spans="2:44" s="414" customFormat="1" x14ac:dyDescent="0.15">
      <c r="B49" s="415"/>
      <c r="D49" s="415"/>
      <c r="E49" s="888"/>
      <c r="AE49" s="956"/>
      <c r="AM49" s="1015"/>
      <c r="AN49" s="1016"/>
      <c r="AO49" s="1046"/>
      <c r="AP49" s="1046"/>
      <c r="AQ49" s="1046"/>
      <c r="AR49" s="1047"/>
    </row>
    <row r="50" spans="2:44" s="414" customFormat="1" x14ac:dyDescent="0.15">
      <c r="B50" s="415"/>
      <c r="D50" s="415"/>
      <c r="E50" s="888"/>
      <c r="AE50" s="956"/>
      <c r="AM50" s="1378"/>
      <c r="AN50" s="1010"/>
      <c r="AO50" s="1043"/>
      <c r="AP50" s="1043"/>
      <c r="AQ50" s="1043"/>
      <c r="AR50" s="1044"/>
    </row>
    <row r="51" spans="2:44" s="414" customFormat="1" x14ac:dyDescent="0.15">
      <c r="B51" s="415"/>
      <c r="D51" s="415"/>
      <c r="E51" s="888"/>
      <c r="AE51" s="956"/>
      <c r="AM51" s="1378"/>
      <c r="AN51" s="1010"/>
      <c r="AO51" s="1043"/>
      <c r="AP51" s="1043"/>
      <c r="AQ51" s="1043"/>
      <c r="AR51" s="1044"/>
    </row>
    <row r="52" spans="2:44" s="414" customFormat="1" x14ac:dyDescent="0.15">
      <c r="B52" s="415"/>
      <c r="D52" s="415"/>
      <c r="E52" s="888"/>
      <c r="AE52" s="956"/>
      <c r="AM52" s="1378"/>
      <c r="AN52" s="1010"/>
      <c r="AO52" s="1043"/>
      <c r="AP52" s="1043"/>
      <c r="AQ52" s="1043"/>
      <c r="AR52" s="1044"/>
    </row>
    <row r="53" spans="2:44" s="414" customFormat="1" x14ac:dyDescent="0.15">
      <c r="B53" s="415"/>
      <c r="D53" s="415"/>
      <c r="E53" s="888"/>
      <c r="AE53" s="956"/>
      <c r="AM53" s="1378"/>
      <c r="AN53" s="1010"/>
      <c r="AO53" s="1043"/>
      <c r="AP53" s="1043"/>
      <c r="AQ53" s="1043"/>
      <c r="AR53" s="1044"/>
    </row>
    <row r="54" spans="2:44" s="414" customFormat="1" x14ac:dyDescent="0.15">
      <c r="B54" s="415"/>
      <c r="D54" s="415"/>
      <c r="E54" s="888"/>
      <c r="AE54" s="956"/>
      <c r="AM54" s="1378"/>
      <c r="AN54" s="1010"/>
      <c r="AO54" s="1043"/>
      <c r="AP54" s="1043"/>
      <c r="AQ54" s="1043"/>
      <c r="AR54" s="1044"/>
    </row>
    <row r="55" spans="2:44" s="414" customFormat="1" x14ac:dyDescent="0.15">
      <c r="B55" s="415"/>
      <c r="D55" s="415"/>
      <c r="E55" s="888"/>
      <c r="AE55" s="956"/>
      <c r="AM55" s="1378"/>
      <c r="AN55" s="1010"/>
      <c r="AO55" s="1043"/>
      <c r="AP55" s="1043"/>
      <c r="AQ55" s="1043"/>
      <c r="AR55" s="1044"/>
    </row>
    <row r="56" spans="2:44" s="414" customFormat="1" x14ac:dyDescent="0.15">
      <c r="B56" s="415"/>
      <c r="D56" s="415"/>
      <c r="E56" s="888"/>
      <c r="AE56" s="956"/>
      <c r="AM56" s="1378"/>
      <c r="AN56" s="1010"/>
      <c r="AO56" s="1043"/>
      <c r="AP56" s="1043"/>
      <c r="AQ56" s="1043"/>
      <c r="AR56" s="1044"/>
    </row>
    <row r="57" spans="2:44" s="414" customFormat="1" x14ac:dyDescent="0.15">
      <c r="B57" s="415"/>
      <c r="D57" s="415"/>
      <c r="E57" s="888"/>
      <c r="AE57" s="956"/>
      <c r="AM57" s="1378"/>
      <c r="AN57" s="1010"/>
      <c r="AO57" s="1043"/>
      <c r="AP57" s="1043"/>
      <c r="AQ57" s="1043"/>
      <c r="AR57" s="1044"/>
    </row>
    <row r="58" spans="2:44" s="414" customFormat="1" x14ac:dyDescent="0.15">
      <c r="B58" s="415"/>
      <c r="D58" s="415"/>
      <c r="E58" s="888"/>
      <c r="AE58" s="956"/>
      <c r="AM58" s="1378"/>
      <c r="AN58" s="1010"/>
      <c r="AO58" s="1043"/>
      <c r="AP58" s="1043"/>
      <c r="AQ58" s="1043"/>
      <c r="AR58" s="1044"/>
    </row>
    <row r="59" spans="2:44" s="414" customFormat="1" x14ac:dyDescent="0.15">
      <c r="B59" s="415"/>
      <c r="D59" s="415"/>
      <c r="E59" s="888"/>
      <c r="AE59" s="956"/>
      <c r="AM59" s="1378"/>
      <c r="AN59" s="1010"/>
      <c r="AO59" s="1043"/>
      <c r="AP59" s="1043"/>
      <c r="AQ59" s="1043"/>
      <c r="AR59" s="1044"/>
    </row>
    <row r="60" spans="2:44" s="414" customFormat="1" x14ac:dyDescent="0.15">
      <c r="B60" s="415"/>
      <c r="D60" s="415"/>
      <c r="E60" s="888"/>
      <c r="AE60" s="956"/>
      <c r="AM60" s="1378"/>
      <c r="AN60" s="1010"/>
      <c r="AO60" s="1043"/>
      <c r="AP60" s="1043"/>
      <c r="AQ60" s="1043"/>
      <c r="AR60" s="1044"/>
    </row>
    <row r="61" spans="2:44" s="414" customFormat="1" x14ac:dyDescent="0.15">
      <c r="B61" s="415"/>
      <c r="D61" s="415"/>
      <c r="E61" s="888"/>
      <c r="AE61" s="956"/>
      <c r="AM61" s="1378"/>
      <c r="AN61" s="1010"/>
      <c r="AO61" s="1043"/>
      <c r="AP61" s="1043"/>
      <c r="AQ61" s="1043"/>
      <c r="AR61" s="1044"/>
    </row>
    <row r="62" spans="2:44" s="414" customFormat="1" x14ac:dyDescent="0.15">
      <c r="B62" s="415"/>
      <c r="D62" s="415"/>
      <c r="E62" s="888"/>
      <c r="AE62" s="956"/>
      <c r="AM62" s="1378"/>
      <c r="AN62" s="1010"/>
      <c r="AO62" s="1043"/>
      <c r="AP62" s="1043"/>
      <c r="AQ62" s="1043"/>
      <c r="AR62" s="1044"/>
    </row>
    <row r="63" spans="2:44" s="414" customFormat="1" x14ac:dyDescent="0.15">
      <c r="B63" s="415"/>
      <c r="D63" s="415"/>
      <c r="E63" s="888"/>
      <c r="AE63" s="956"/>
      <c r="AM63" s="1378"/>
      <c r="AN63" s="1010"/>
      <c r="AO63" s="1043"/>
      <c r="AP63" s="1043"/>
      <c r="AQ63" s="1043"/>
      <c r="AR63" s="1044"/>
    </row>
    <row r="64" spans="2:44" s="414" customFormat="1" x14ac:dyDescent="0.15">
      <c r="B64" s="415"/>
      <c r="D64" s="415"/>
      <c r="E64" s="888"/>
      <c r="AE64" s="956"/>
      <c r="AM64" s="1378"/>
      <c r="AN64" s="1010"/>
      <c r="AO64" s="1043"/>
      <c r="AP64" s="1043"/>
      <c r="AQ64" s="1043"/>
      <c r="AR64" s="1044"/>
    </row>
    <row r="65" spans="2:44" s="414" customFormat="1" x14ac:dyDescent="0.15">
      <c r="B65" s="415"/>
      <c r="D65" s="415"/>
      <c r="E65" s="888"/>
      <c r="AE65" s="956"/>
      <c r="AM65" s="1378"/>
      <c r="AN65" s="1010"/>
      <c r="AO65" s="1043"/>
      <c r="AP65" s="1043"/>
      <c r="AQ65" s="1043"/>
      <c r="AR65" s="1044"/>
    </row>
    <row r="66" spans="2:44" s="414" customFormat="1" x14ac:dyDescent="0.15">
      <c r="B66" s="415"/>
      <c r="D66" s="415"/>
      <c r="E66" s="888"/>
      <c r="AE66" s="956"/>
      <c r="AM66" s="1378"/>
      <c r="AN66" s="1010"/>
      <c r="AO66" s="1043"/>
      <c r="AP66" s="1043"/>
      <c r="AQ66" s="1043"/>
      <c r="AR66" s="1044"/>
    </row>
    <row r="67" spans="2:44" s="414" customFormat="1" x14ac:dyDescent="0.15">
      <c r="B67" s="415"/>
      <c r="D67" s="415"/>
      <c r="E67" s="888"/>
      <c r="AE67" s="956"/>
      <c r="AM67" s="1378"/>
      <c r="AN67" s="1010"/>
      <c r="AO67" s="1043"/>
      <c r="AP67" s="1043"/>
      <c r="AQ67" s="1043"/>
      <c r="AR67" s="1044"/>
    </row>
    <row r="68" spans="2:44" s="414" customFormat="1" x14ac:dyDescent="0.15">
      <c r="B68" s="415"/>
      <c r="D68" s="415"/>
      <c r="E68" s="888"/>
      <c r="AE68" s="956"/>
      <c r="AM68" s="1378"/>
      <c r="AN68" s="1010"/>
      <c r="AO68" s="1043"/>
      <c r="AP68" s="1043"/>
      <c r="AQ68" s="1043"/>
      <c r="AR68" s="1044"/>
    </row>
    <row r="69" spans="2:44" s="414" customFormat="1" x14ac:dyDescent="0.15">
      <c r="B69" s="415"/>
      <c r="D69" s="415"/>
      <c r="E69" s="888"/>
      <c r="AE69" s="956"/>
      <c r="AM69" s="1378"/>
      <c r="AN69" s="1010"/>
      <c r="AO69" s="1043"/>
      <c r="AP69" s="1043"/>
      <c r="AQ69" s="1043"/>
      <c r="AR69" s="1044"/>
    </row>
    <row r="70" spans="2:44" s="414" customFormat="1" x14ac:dyDescent="0.15">
      <c r="B70" s="415"/>
      <c r="D70" s="415"/>
      <c r="E70" s="888"/>
      <c r="AE70" s="956"/>
      <c r="AM70" s="1378"/>
      <c r="AN70" s="1010"/>
      <c r="AO70" s="1043"/>
      <c r="AP70" s="1043"/>
      <c r="AQ70" s="1043"/>
      <c r="AR70" s="1044"/>
    </row>
    <row r="71" spans="2:44" s="414" customFormat="1" x14ac:dyDescent="0.15">
      <c r="B71" s="415"/>
      <c r="D71" s="415"/>
      <c r="E71" s="888"/>
      <c r="AE71" s="956"/>
      <c r="AM71" s="1378"/>
      <c r="AN71" s="1010"/>
      <c r="AO71" s="1043"/>
      <c r="AP71" s="1043"/>
      <c r="AQ71" s="1043"/>
      <c r="AR71" s="1044"/>
    </row>
    <row r="72" spans="2:44" s="414" customFormat="1" x14ac:dyDescent="0.15">
      <c r="B72" s="415"/>
      <c r="D72" s="415"/>
      <c r="E72" s="888"/>
      <c r="AE72" s="956"/>
      <c r="AM72" s="1378"/>
      <c r="AN72" s="1010"/>
      <c r="AO72" s="1043"/>
      <c r="AP72" s="1043"/>
      <c r="AQ72" s="1043"/>
      <c r="AR72" s="1044"/>
    </row>
    <row r="73" spans="2:44" s="414" customFormat="1" x14ac:dyDescent="0.15">
      <c r="B73" s="415"/>
      <c r="D73" s="415"/>
      <c r="E73" s="888"/>
      <c r="AE73" s="956"/>
      <c r="AM73" s="1378"/>
      <c r="AN73" s="1010"/>
      <c r="AO73" s="1043"/>
      <c r="AP73" s="1043"/>
      <c r="AQ73" s="1043"/>
      <c r="AR73" s="1044"/>
    </row>
    <row r="74" spans="2:44" s="414" customFormat="1" x14ac:dyDescent="0.15">
      <c r="B74" s="415"/>
      <c r="D74" s="415"/>
      <c r="E74" s="888"/>
      <c r="AE74" s="956"/>
      <c r="AM74" s="1378"/>
      <c r="AN74" s="1010"/>
      <c r="AO74" s="1043"/>
      <c r="AP74" s="1043"/>
      <c r="AQ74" s="1043"/>
      <c r="AR74" s="1044"/>
    </row>
    <row r="75" spans="2:44" s="414" customFormat="1" x14ac:dyDescent="0.15">
      <c r="B75" s="415"/>
      <c r="D75" s="415"/>
      <c r="E75" s="888"/>
      <c r="AE75" s="956"/>
      <c r="AM75" s="1378"/>
      <c r="AN75" s="1010"/>
      <c r="AO75" s="1043"/>
      <c r="AP75" s="1043"/>
      <c r="AQ75" s="1043"/>
      <c r="AR75" s="1044"/>
    </row>
    <row r="76" spans="2:44" s="414" customFormat="1" x14ac:dyDescent="0.15">
      <c r="B76" s="415"/>
      <c r="D76" s="415"/>
      <c r="E76" s="888"/>
      <c r="AE76" s="956"/>
      <c r="AM76" s="1378"/>
      <c r="AN76" s="1010"/>
      <c r="AO76" s="1043"/>
      <c r="AP76" s="1043"/>
      <c r="AQ76" s="1043"/>
      <c r="AR76" s="1044"/>
    </row>
    <row r="77" spans="2:44" s="414" customFormat="1" x14ac:dyDescent="0.15">
      <c r="B77" s="415"/>
      <c r="D77" s="415"/>
      <c r="E77" s="888"/>
      <c r="AE77" s="956"/>
      <c r="AM77" s="1378"/>
      <c r="AN77" s="1010"/>
      <c r="AO77" s="1096"/>
      <c r="AP77" s="1096"/>
      <c r="AQ77" s="1096"/>
      <c r="AR77" s="1044"/>
    </row>
    <row r="78" spans="2:44" s="414" customFormat="1" x14ac:dyDescent="0.15">
      <c r="B78" s="415"/>
      <c r="D78" s="415"/>
      <c r="E78" s="888"/>
      <c r="AE78" s="956"/>
      <c r="AM78" s="1378"/>
      <c r="AN78" s="1010"/>
      <c r="AO78" s="1096"/>
      <c r="AP78" s="1096"/>
      <c r="AQ78" s="1096"/>
      <c r="AR78" s="1044"/>
    </row>
    <row r="79" spans="2:44" s="414" customFormat="1" x14ac:dyDescent="0.15">
      <c r="B79" s="415"/>
      <c r="D79" s="415"/>
      <c r="E79" s="888"/>
      <c r="AE79" s="956"/>
      <c r="AM79" s="1378"/>
      <c r="AN79" s="1010"/>
      <c r="AO79" s="1096"/>
      <c r="AP79" s="1096"/>
      <c r="AQ79" s="1096"/>
      <c r="AR79" s="1044"/>
    </row>
    <row r="80" spans="2:44" s="414" customFormat="1" x14ac:dyDescent="0.15">
      <c r="B80" s="415"/>
      <c r="D80" s="415"/>
      <c r="E80" s="888"/>
      <c r="AE80" s="956"/>
      <c r="AM80" s="1009"/>
      <c r="AN80" s="1010"/>
      <c r="AO80" s="1043"/>
      <c r="AP80" s="1043"/>
      <c r="AQ80" s="1043"/>
      <c r="AR80" s="1044"/>
    </row>
    <row r="81" spans="2:44" s="414" customFormat="1" x14ac:dyDescent="0.15">
      <c r="B81" s="415"/>
      <c r="D81" s="415"/>
      <c r="E81" s="888"/>
      <c r="AE81" s="956"/>
      <c r="AM81" s="1015"/>
      <c r="AN81" s="1093"/>
      <c r="AO81" s="1097"/>
      <c r="AP81" s="1097"/>
      <c r="AQ81" s="1097"/>
      <c r="AR81" s="1098"/>
    </row>
    <row r="82" spans="2:44" s="414" customFormat="1" x14ac:dyDescent="0.15">
      <c r="B82" s="415"/>
      <c r="D82" s="415"/>
      <c r="E82" s="888"/>
      <c r="AE82" s="956"/>
      <c r="AM82" s="1094"/>
      <c r="AN82" s="1095"/>
      <c r="AO82" s="1006"/>
      <c r="AP82" s="1006"/>
      <c r="AQ82" s="1006"/>
      <c r="AR82" s="1099"/>
    </row>
    <row r="83" spans="2:44" s="414" customFormat="1" x14ac:dyDescent="0.15">
      <c r="B83" s="415"/>
      <c r="D83" s="415"/>
      <c r="E83" s="888"/>
      <c r="AE83" s="956"/>
      <c r="AM83" s="1009"/>
      <c r="AN83" s="1014"/>
      <c r="AO83" s="1043"/>
      <c r="AP83" s="1043"/>
      <c r="AQ83" s="1043"/>
      <c r="AR83" s="1044"/>
    </row>
    <row r="84" spans="2:44" s="414" customFormat="1" x14ac:dyDescent="0.15">
      <c r="B84" s="415"/>
      <c r="D84" s="415"/>
      <c r="E84" s="888"/>
      <c r="AE84" s="956"/>
      <c r="AM84" s="1009"/>
      <c r="AN84" s="1014"/>
      <c r="AO84" s="1043"/>
      <c r="AP84" s="1043"/>
      <c r="AQ84" s="1043"/>
      <c r="AR84" s="1044"/>
    </row>
    <row r="85" spans="2:44" s="414" customFormat="1" x14ac:dyDescent="0.15">
      <c r="B85" s="415"/>
      <c r="D85" s="415"/>
      <c r="E85" s="888"/>
      <c r="AE85" s="956"/>
      <c r="AM85" s="1009"/>
      <c r="AN85" s="1014"/>
      <c r="AO85" s="1043"/>
      <c r="AP85" s="1043"/>
      <c r="AQ85" s="1043"/>
      <c r="AR85" s="1044"/>
    </row>
    <row r="86" spans="2:44" s="414" customFormat="1" x14ac:dyDescent="0.15">
      <c r="B86" s="415"/>
      <c r="D86" s="415"/>
      <c r="E86" s="888"/>
      <c r="AE86" s="956"/>
      <c r="AM86" s="1009"/>
      <c r="AN86" s="1014"/>
      <c r="AO86" s="1043"/>
      <c r="AP86" s="1043"/>
      <c r="AQ86" s="1043"/>
      <c r="AR86" s="1044"/>
    </row>
    <row r="87" spans="2:44" s="414" customFormat="1" x14ac:dyDescent="0.15">
      <c r="B87" s="415"/>
      <c r="D87" s="415"/>
      <c r="E87" s="888"/>
      <c r="AE87" s="956"/>
      <c r="AM87" s="1009"/>
      <c r="AN87" s="1014"/>
      <c r="AO87" s="1043"/>
      <c r="AP87" s="1043"/>
      <c r="AQ87" s="1043"/>
      <c r="AR87" s="1044"/>
    </row>
    <row r="88" spans="2:44" s="414" customFormat="1" x14ac:dyDescent="0.15">
      <c r="B88" s="415"/>
      <c r="D88" s="415"/>
      <c r="E88" s="888"/>
      <c r="AE88" s="956"/>
      <c r="AM88" s="405"/>
      <c r="AN88" s="980"/>
      <c r="AO88" s="1043"/>
      <c r="AP88" s="1043"/>
      <c r="AQ88" s="1043"/>
      <c r="AR88" s="1044"/>
    </row>
    <row r="89" spans="2:44" s="414" customFormat="1" x14ac:dyDescent="0.15">
      <c r="B89" s="415"/>
      <c r="D89" s="415"/>
      <c r="E89" s="888"/>
      <c r="AE89" s="956"/>
      <c r="AM89" s="405"/>
      <c r="AN89" s="980"/>
      <c r="AO89" s="1043"/>
      <c r="AP89" s="1043"/>
      <c r="AQ89" s="1043"/>
      <c r="AR89" s="1044"/>
    </row>
    <row r="90" spans="2:44" s="414" customFormat="1" x14ac:dyDescent="0.15">
      <c r="B90" s="415"/>
      <c r="D90" s="415"/>
      <c r="E90" s="888"/>
      <c r="AE90" s="956"/>
      <c r="AM90" s="405"/>
      <c r="AN90" s="980"/>
      <c r="AO90" s="1043"/>
      <c r="AP90" s="1043"/>
      <c r="AQ90" s="1043"/>
      <c r="AR90" s="1044"/>
    </row>
    <row r="91" spans="2:44" s="414" customFormat="1" x14ac:dyDescent="0.15">
      <c r="B91" s="415"/>
      <c r="D91" s="415"/>
      <c r="E91" s="888"/>
      <c r="AE91" s="956"/>
      <c r="AM91" s="405"/>
      <c r="AN91" s="980"/>
      <c r="AO91" s="1043"/>
      <c r="AP91" s="1043"/>
      <c r="AQ91" s="1043"/>
      <c r="AR91" s="1044"/>
    </row>
    <row r="92" spans="2:44" s="414" customFormat="1" x14ac:dyDescent="0.15">
      <c r="B92" s="415"/>
      <c r="D92" s="415"/>
      <c r="E92" s="888"/>
      <c r="AE92" s="956"/>
      <c r="AM92" s="1009"/>
      <c r="AN92" s="1014"/>
      <c r="AO92" s="1043"/>
      <c r="AP92" s="1043"/>
      <c r="AQ92" s="1043"/>
      <c r="AR92" s="1044"/>
    </row>
    <row r="93" spans="2:44" s="414" customFormat="1" x14ac:dyDescent="0.15">
      <c r="B93" s="415"/>
      <c r="D93" s="415"/>
      <c r="E93" s="888"/>
      <c r="AE93" s="956"/>
      <c r="AM93" s="1009"/>
      <c r="AN93" s="1014"/>
      <c r="AO93" s="1043"/>
      <c r="AP93" s="1043"/>
      <c r="AQ93" s="1043"/>
      <c r="AR93" s="1044"/>
    </row>
    <row r="94" spans="2:44" s="414" customFormat="1" x14ac:dyDescent="0.15">
      <c r="B94" s="415"/>
      <c r="D94" s="415"/>
      <c r="E94" s="888"/>
      <c r="AE94" s="956"/>
      <c r="AM94" s="1009"/>
      <c r="AN94" s="1014"/>
      <c r="AO94" s="1043"/>
      <c r="AP94" s="1043"/>
      <c r="AQ94" s="1043"/>
      <c r="AR94" s="1044"/>
    </row>
    <row r="95" spans="2:44" s="414" customFormat="1" x14ac:dyDescent="0.15">
      <c r="B95" s="415"/>
      <c r="D95" s="415"/>
      <c r="E95" s="888"/>
      <c r="AE95" s="956"/>
      <c r="AM95" s="1009"/>
      <c r="AN95" s="1014"/>
      <c r="AO95" s="1043"/>
      <c r="AP95" s="1043"/>
      <c r="AQ95" s="1043"/>
      <c r="AR95" s="1044"/>
    </row>
    <row r="96" spans="2:44" s="414" customFormat="1" x14ac:dyDescent="0.15">
      <c r="B96" s="415"/>
      <c r="D96" s="415"/>
      <c r="E96" s="888"/>
      <c r="AE96" s="956"/>
      <c r="AM96" s="1009"/>
      <c r="AN96" s="1014"/>
      <c r="AO96" s="1043"/>
      <c r="AP96" s="1043"/>
      <c r="AQ96" s="1043"/>
      <c r="AR96" s="1044"/>
    </row>
    <row r="97" spans="2:44" s="414" customFormat="1" x14ac:dyDescent="0.15">
      <c r="B97" s="415"/>
      <c r="D97" s="415"/>
      <c r="E97" s="888"/>
      <c r="AE97" s="956"/>
      <c r="AM97" s="1094"/>
      <c r="AN97" s="1094"/>
      <c r="AO97" s="1006"/>
      <c r="AP97" s="1006"/>
      <c r="AQ97" s="1006"/>
      <c r="AR97" s="1099"/>
    </row>
    <row r="98" spans="2:44" s="414" customFormat="1" x14ac:dyDescent="0.15">
      <c r="B98" s="415"/>
      <c r="D98" s="415"/>
      <c r="E98" s="888"/>
      <c r="AE98" s="956"/>
      <c r="AM98" s="1009"/>
      <c r="AN98" s="1014"/>
      <c r="AO98" s="1043"/>
      <c r="AP98" s="1043"/>
      <c r="AQ98" s="1043"/>
      <c r="AR98" s="1044"/>
    </row>
    <row r="99" spans="2:44" s="414" customFormat="1" x14ac:dyDescent="0.15">
      <c r="B99" s="415"/>
      <c r="D99" s="415"/>
      <c r="E99" s="888"/>
      <c r="AE99" s="956"/>
      <c r="AM99" s="1009"/>
      <c r="AN99" s="1014"/>
      <c r="AO99" s="1043"/>
      <c r="AP99" s="1043"/>
      <c r="AQ99" s="1043"/>
      <c r="AR99" s="1044"/>
    </row>
    <row r="100" spans="2:44" s="414" customFormat="1" x14ac:dyDescent="0.15">
      <c r="B100" s="415"/>
      <c r="D100" s="415"/>
      <c r="E100" s="888"/>
      <c r="AE100" s="956"/>
      <c r="AM100" s="1009"/>
      <c r="AN100" s="1014"/>
      <c r="AO100" s="1043"/>
      <c r="AP100" s="1043"/>
      <c r="AQ100" s="1043"/>
      <c r="AR100" s="1044"/>
    </row>
    <row r="101" spans="2:44" s="414" customFormat="1" x14ac:dyDescent="0.15">
      <c r="B101" s="415"/>
      <c r="D101" s="415"/>
      <c r="E101" s="888"/>
      <c r="AE101" s="956"/>
      <c r="AM101" s="1009"/>
      <c r="AN101" s="1014"/>
      <c r="AO101" s="1043"/>
      <c r="AP101" s="1043"/>
      <c r="AQ101" s="1043"/>
      <c r="AR101" s="1044"/>
    </row>
    <row r="102" spans="2:44" s="414" customFormat="1" x14ac:dyDescent="0.15">
      <c r="B102" s="415"/>
      <c r="D102" s="415"/>
      <c r="E102" s="888"/>
      <c r="AE102" s="956"/>
      <c r="AM102" s="1009"/>
      <c r="AN102" s="1014"/>
      <c r="AO102" s="1043"/>
      <c r="AP102" s="1043"/>
      <c r="AQ102" s="1043"/>
      <c r="AR102" s="1044"/>
    </row>
    <row r="103" spans="2:44" s="414" customFormat="1" x14ac:dyDescent="0.15">
      <c r="B103" s="415"/>
      <c r="D103" s="415"/>
      <c r="E103" s="888"/>
      <c r="AE103" s="956"/>
      <c r="AM103" s="1009"/>
      <c r="AN103" s="1014"/>
      <c r="AO103" s="1043"/>
      <c r="AP103" s="1043"/>
      <c r="AQ103" s="1043"/>
      <c r="AR103" s="1044"/>
    </row>
    <row r="104" spans="2:44" s="414" customFormat="1" x14ac:dyDescent="0.15">
      <c r="B104" s="415"/>
      <c r="D104" s="415"/>
      <c r="E104" s="888"/>
      <c r="AE104" s="956"/>
      <c r="AM104" s="1009"/>
      <c r="AN104" s="1014"/>
      <c r="AO104" s="1043"/>
      <c r="AP104" s="1043"/>
      <c r="AQ104" s="1043"/>
      <c r="AR104" s="1044"/>
    </row>
    <row r="105" spans="2:44" s="414" customFormat="1" x14ac:dyDescent="0.15">
      <c r="B105" s="415"/>
      <c r="D105" s="415"/>
      <c r="E105" s="888"/>
      <c r="AE105" s="956"/>
      <c r="AM105" s="1009"/>
      <c r="AN105" s="1014"/>
      <c r="AO105" s="1043"/>
      <c r="AP105" s="1043"/>
      <c r="AQ105" s="1043"/>
      <c r="AR105" s="1044"/>
    </row>
    <row r="106" spans="2:44" s="414" customFormat="1" x14ac:dyDescent="0.15">
      <c r="B106" s="415"/>
      <c r="D106" s="415"/>
      <c r="E106" s="888"/>
      <c r="AE106" s="956"/>
      <c r="AM106" s="1009"/>
      <c r="AN106" s="1014"/>
      <c r="AO106" s="1043"/>
      <c r="AP106" s="1043"/>
      <c r="AQ106" s="1043"/>
      <c r="AR106" s="1044"/>
    </row>
    <row r="107" spans="2:44" s="414" customFormat="1" x14ac:dyDescent="0.15">
      <c r="B107" s="415"/>
      <c r="D107" s="415"/>
      <c r="E107" s="888"/>
      <c r="AE107" s="956"/>
      <c r="AL107" s="980"/>
      <c r="AM107" s="980"/>
      <c r="AN107" s="980"/>
      <c r="AO107" s="1017"/>
      <c r="AP107" s="1017"/>
      <c r="AQ107" s="1017"/>
      <c r="AR107" s="1018"/>
    </row>
    <row r="108" spans="2:44" s="414" customFormat="1" x14ac:dyDescent="0.15">
      <c r="B108" s="415"/>
      <c r="D108" s="415"/>
      <c r="E108" s="888"/>
      <c r="AE108" s="956"/>
      <c r="AL108" s="980"/>
      <c r="AM108" s="980"/>
      <c r="AN108" s="980"/>
      <c r="AO108" s="1017"/>
      <c r="AP108" s="1017"/>
      <c r="AQ108" s="1017"/>
      <c r="AR108" s="1018"/>
    </row>
    <row r="109" spans="2:44" s="414" customFormat="1" x14ac:dyDescent="0.15">
      <c r="B109" s="415"/>
      <c r="D109" s="415"/>
      <c r="E109" s="888"/>
      <c r="AE109" s="956"/>
      <c r="AL109" s="980"/>
      <c r="AM109" s="980"/>
      <c r="AN109" s="980"/>
      <c r="AO109" s="1017"/>
      <c r="AP109" s="1017"/>
      <c r="AQ109" s="1017"/>
      <c r="AR109" s="1018"/>
    </row>
    <row r="110" spans="2:44" s="414" customFormat="1" x14ac:dyDescent="0.15">
      <c r="B110" s="415"/>
      <c r="D110" s="415"/>
      <c r="E110" s="888"/>
      <c r="AE110" s="956"/>
      <c r="AL110" s="980"/>
      <c r="AM110" s="980"/>
      <c r="AN110" s="980"/>
      <c r="AO110" s="1017"/>
      <c r="AP110" s="1017"/>
      <c r="AQ110" s="1017"/>
      <c r="AR110" s="1018"/>
    </row>
    <row r="111" spans="2:44" s="414" customFormat="1" x14ac:dyDescent="0.15">
      <c r="B111" s="415"/>
      <c r="D111" s="415"/>
      <c r="E111" s="888"/>
      <c r="AE111" s="956"/>
      <c r="AL111" s="980"/>
      <c r="AM111" s="980"/>
      <c r="AN111" s="980"/>
      <c r="AO111" s="1017"/>
      <c r="AP111" s="1017"/>
      <c r="AQ111" s="1017"/>
      <c r="AR111" s="1018"/>
    </row>
    <row r="112" spans="2:44" s="414" customFormat="1" x14ac:dyDescent="0.15">
      <c r="B112" s="415"/>
      <c r="D112" s="415"/>
      <c r="E112" s="888"/>
      <c r="AE112" s="956"/>
      <c r="AL112" s="980"/>
      <c r="AM112" s="980"/>
      <c r="AN112" s="980"/>
      <c r="AO112" s="1017"/>
      <c r="AP112" s="1017"/>
      <c r="AQ112" s="1017"/>
      <c r="AR112" s="1018"/>
    </row>
    <row r="113" spans="2:75" s="414" customFormat="1" x14ac:dyDescent="0.15">
      <c r="B113" s="415"/>
      <c r="D113" s="415"/>
      <c r="E113" s="888"/>
      <c r="AE113" s="956"/>
      <c r="AL113" s="980"/>
      <c r="AM113" s="980"/>
      <c r="AN113" s="980"/>
      <c r="AO113" s="1017"/>
      <c r="AP113" s="1017"/>
      <c r="AQ113" s="1017"/>
      <c r="AR113" s="1018"/>
      <c r="BA113" s="883"/>
      <c r="BB113" s="883"/>
      <c r="BC113" s="883"/>
      <c r="BD113" s="883"/>
      <c r="BE113" s="883"/>
      <c r="BF113" s="883"/>
      <c r="BG113" s="883"/>
      <c r="BH113" s="883"/>
      <c r="BI113" s="883"/>
      <c r="BJ113" s="883"/>
      <c r="BW113" s="883"/>
    </row>
    <row r="114" spans="2:75" x14ac:dyDescent="0.15">
      <c r="Y114" s="414"/>
      <c r="Z114" s="414"/>
      <c r="AA114" s="414"/>
      <c r="AB114" s="414"/>
      <c r="AC114" s="414"/>
      <c r="AD114" s="414"/>
      <c r="AE114" s="956"/>
      <c r="AF114" s="414"/>
      <c r="AG114" s="414"/>
      <c r="AH114" s="414"/>
      <c r="AI114" s="414"/>
      <c r="BK114" s="414"/>
      <c r="BL114" s="414"/>
      <c r="BM114" s="414"/>
      <c r="BN114" s="414"/>
      <c r="BO114" s="414"/>
      <c r="BP114" s="414"/>
      <c r="BQ114" s="414"/>
      <c r="BR114" s="414"/>
      <c r="BS114" s="414"/>
      <c r="BT114" s="414"/>
      <c r="BU114" s="414"/>
      <c r="BV114" s="414"/>
    </row>
    <row r="115" spans="2:75" x14ac:dyDescent="0.15">
      <c r="Y115" s="414"/>
      <c r="Z115" s="414"/>
      <c r="AA115" s="414"/>
      <c r="AB115" s="414"/>
      <c r="AC115" s="414"/>
      <c r="AD115" s="414"/>
      <c r="AE115" s="956"/>
      <c r="AF115" s="414"/>
      <c r="AG115" s="414"/>
      <c r="AH115" s="414"/>
      <c r="AI115" s="414"/>
    </row>
    <row r="116" spans="2:75" x14ac:dyDescent="0.15">
      <c r="Y116" s="414"/>
      <c r="Z116" s="414"/>
      <c r="AA116" s="414"/>
      <c r="AB116" s="414"/>
      <c r="AC116" s="414"/>
      <c r="AD116" s="414"/>
      <c r="AE116" s="956"/>
      <c r="AF116" s="414"/>
      <c r="AG116" s="414"/>
      <c r="AH116" s="414"/>
      <c r="AI116" s="414"/>
    </row>
  </sheetData>
  <mergeCells count="54">
    <mergeCell ref="R7:T8"/>
    <mergeCell ref="AM50:AM53"/>
    <mergeCell ref="AM54:AM62"/>
    <mergeCell ref="AM63:AM79"/>
    <mergeCell ref="BK11:BK12"/>
    <mergeCell ref="N24:V24"/>
    <mergeCell ref="N25:V25"/>
    <mergeCell ref="AL26:AZ26"/>
    <mergeCell ref="BG11:BI11"/>
    <mergeCell ref="AG11:AI11"/>
    <mergeCell ref="AN11:AO11"/>
    <mergeCell ref="AP11:AQ11"/>
    <mergeCell ref="AR11:AS11"/>
    <mergeCell ref="AT11:AU11"/>
    <mergeCell ref="R11:T11"/>
    <mergeCell ref="U11:V11"/>
    <mergeCell ref="Y27:AI27"/>
    <mergeCell ref="BK28:BV28"/>
    <mergeCell ref="B11:B12"/>
    <mergeCell ref="C11:C12"/>
    <mergeCell ref="N11:N12"/>
    <mergeCell ref="O11:O12"/>
    <mergeCell ref="Y11:Y12"/>
    <mergeCell ref="Z11:Z12"/>
    <mergeCell ref="AG16:AG20"/>
    <mergeCell ref="AH16:AH20"/>
    <mergeCell ref="AI16:AI20"/>
    <mergeCell ref="AL11:AL12"/>
    <mergeCell ref="AM11:AM12"/>
    <mergeCell ref="R12:S12"/>
    <mergeCell ref="B24:K24"/>
    <mergeCell ref="BM11:BN11"/>
    <mergeCell ref="BO11:BP11"/>
    <mergeCell ref="BQ11:BR11"/>
    <mergeCell ref="BS11:BV11"/>
    <mergeCell ref="AV11:AX11"/>
    <mergeCell ref="AY11:AZ11"/>
    <mergeCell ref="BA11:BB11"/>
    <mergeCell ref="BC11:BD11"/>
    <mergeCell ref="BE11:BF11"/>
    <mergeCell ref="BL11:BL12"/>
    <mergeCell ref="AA11:AB11"/>
    <mergeCell ref="AC11:AD11"/>
    <mergeCell ref="AE11:AF11"/>
    <mergeCell ref="D11:E11"/>
    <mergeCell ref="F11:G11"/>
    <mergeCell ref="H11:I11"/>
    <mergeCell ref="J11:K11"/>
    <mergeCell ref="P11:Q11"/>
    <mergeCell ref="B10:K10"/>
    <mergeCell ref="N10:V10"/>
    <mergeCell ref="Y10:AI10"/>
    <mergeCell ref="AL10:BI10"/>
    <mergeCell ref="BK10:BV10"/>
  </mergeCells>
  <phoneticPr fontId="62" type="noConversion"/>
  <hyperlinks>
    <hyperlink ref="AL27" location="海景嘉福汇报报告!A1" display="项目投入产出" xr:uid="{00000000-0004-0000-0100-000000000000}"/>
  </hyperlinks>
  <pageMargins left="0.7" right="0.7" top="0.75" bottom="0.75" header="0.3" footer="0.3"/>
  <pageSetup paperSize="9" orientation="portrait"/>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W201"/>
  <sheetViews>
    <sheetView zoomScale="90" zoomScaleNormal="90" workbookViewId="0">
      <pane xSplit="3" ySplit="30" topLeftCell="E135" activePane="bottomRight" state="frozen"/>
      <selection pane="topRight"/>
      <selection pane="bottomLeft"/>
      <selection pane="bottomRight" activeCell="A140" sqref="A140:XFD140"/>
    </sheetView>
  </sheetViews>
  <sheetFormatPr defaultColWidth="8.75" defaultRowHeight="16.5" outlineLevelRow="2" x14ac:dyDescent="0.15"/>
  <cols>
    <col min="1" max="1" width="2.875" style="414" customWidth="1"/>
    <col min="2" max="2" width="11.75" style="415" customWidth="1"/>
    <col min="3" max="3" width="27.875" style="414" customWidth="1"/>
    <col min="4" max="4" width="8.25" style="416" customWidth="1"/>
    <col min="5" max="8" width="12.625" style="414" customWidth="1"/>
    <col min="9" max="9" width="11.625" style="417" customWidth="1"/>
    <col min="10" max="11" width="12.625" style="414" customWidth="1"/>
    <col min="12" max="12" width="10.25" style="418" customWidth="1"/>
    <col min="13" max="13" width="8.5" style="419" customWidth="1"/>
    <col min="14" max="14" width="6.625" style="419" customWidth="1"/>
    <col min="15" max="16" width="6.625" style="420" customWidth="1"/>
    <col min="17" max="17" width="13.625" style="421" customWidth="1"/>
    <col min="18" max="18" width="12.625" style="420" customWidth="1"/>
    <col min="19" max="19" width="10.125" style="420" customWidth="1"/>
    <col min="20" max="20" width="14.875" style="414" customWidth="1"/>
    <col min="21" max="16384" width="8.75" style="414"/>
  </cols>
  <sheetData>
    <row r="1" spans="2:19" ht="21" x14ac:dyDescent="0.15">
      <c r="B1" s="422" t="s">
        <v>3</v>
      </c>
    </row>
    <row r="3" spans="2:19" hidden="1" outlineLevel="1" x14ac:dyDescent="0.15"/>
    <row r="4" spans="2:19" hidden="1" outlineLevel="1" x14ac:dyDescent="0.15"/>
    <row r="5" spans="2:19" hidden="1" outlineLevel="1" x14ac:dyDescent="0.15"/>
    <row r="6" spans="2:19" hidden="1" outlineLevel="1" x14ac:dyDescent="0.15"/>
    <row r="7" spans="2:19" hidden="1" outlineLevel="1" x14ac:dyDescent="0.15"/>
    <row r="8" spans="2:19" hidden="1" outlineLevel="1" x14ac:dyDescent="0.15"/>
    <row r="9" spans="2:19" hidden="1" outlineLevel="1" x14ac:dyDescent="0.15"/>
    <row r="10" spans="2:19" hidden="1" outlineLevel="1" x14ac:dyDescent="0.15"/>
    <row r="11" spans="2:19" hidden="1" outlineLevel="1" x14ac:dyDescent="0.15"/>
    <row r="12" spans="2:19" ht="11.1" customHeight="1" collapsed="1" x14ac:dyDescent="0.15"/>
    <row r="13" spans="2:19" s="405" customFormat="1" ht="18" customHeight="1" x14ac:dyDescent="0.15">
      <c r="B13" s="1277" t="s">
        <v>15</v>
      </c>
      <c r="C13" s="1278"/>
      <c r="D13" s="1279" t="s">
        <v>16</v>
      </c>
      <c r="E13" s="1280"/>
      <c r="F13" s="1281"/>
      <c r="G13" s="1278" t="s">
        <v>17</v>
      </c>
      <c r="H13" s="1278"/>
      <c r="I13" s="1282" t="s">
        <v>18</v>
      </c>
      <c r="J13" s="1283"/>
      <c r="K13" s="1284"/>
      <c r="L13" s="1285" t="s">
        <v>19</v>
      </c>
      <c r="M13" s="1285"/>
      <c r="N13" s="1285"/>
      <c r="O13" s="1285"/>
      <c r="P13" s="1286"/>
      <c r="Q13" s="1287" t="s">
        <v>20</v>
      </c>
      <c r="R13" s="1287"/>
      <c r="S13" s="1288"/>
    </row>
    <row r="14" spans="2:19" s="406" customFormat="1" ht="18" customHeight="1" x14ac:dyDescent="0.15">
      <c r="B14" s="423" t="s">
        <v>196</v>
      </c>
      <c r="C14" s="424"/>
      <c r="D14" s="425"/>
      <c r="E14" s="424"/>
      <c r="F14" s="424"/>
      <c r="G14" s="426"/>
      <c r="H14" s="426"/>
      <c r="I14" s="537"/>
      <c r="J14" s="424"/>
      <c r="K14" s="424"/>
      <c r="L14" s="538"/>
      <c r="M14" s="539"/>
      <c r="N14" s="539"/>
      <c r="O14" s="539"/>
      <c r="P14" s="539"/>
      <c r="Q14" s="594"/>
      <c r="R14" s="595"/>
      <c r="S14" s="596"/>
    </row>
    <row r="15" spans="2:19" s="406" customFormat="1" ht="18" hidden="1" customHeight="1" outlineLevel="1" x14ac:dyDescent="0.15">
      <c r="B15" s="427">
        <v>1</v>
      </c>
      <c r="C15" s="428" t="s">
        <v>197</v>
      </c>
      <c r="D15" s="429">
        <v>44166</v>
      </c>
      <c r="E15" s="430"/>
      <c r="F15" s="430"/>
      <c r="G15" s="431"/>
      <c r="H15" s="431"/>
      <c r="I15" s="540"/>
      <c r="J15" s="430"/>
      <c r="K15" s="430"/>
      <c r="L15" s="538"/>
      <c r="M15" s="429">
        <v>44186</v>
      </c>
      <c r="N15" s="429"/>
      <c r="O15" s="539"/>
      <c r="P15" s="539"/>
      <c r="Q15" s="597"/>
      <c r="R15" s="539"/>
      <c r="S15" s="598"/>
    </row>
    <row r="16" spans="2:19" s="406" customFormat="1" ht="18" hidden="1" customHeight="1" outlineLevel="1" x14ac:dyDescent="0.15">
      <c r="B16" s="427">
        <v>2</v>
      </c>
      <c r="C16" s="428" t="s">
        <v>198</v>
      </c>
      <c r="D16" s="429">
        <v>44356</v>
      </c>
      <c r="E16" s="430"/>
      <c r="F16" s="430"/>
      <c r="G16" s="431"/>
      <c r="H16" s="431"/>
      <c r="I16" s="540"/>
      <c r="J16" s="430"/>
      <c r="K16" s="430"/>
      <c r="L16" s="538"/>
      <c r="M16" s="429" t="s">
        <v>199</v>
      </c>
      <c r="N16" s="429"/>
      <c r="O16" s="539"/>
      <c r="P16" s="539"/>
      <c r="Q16" s="597"/>
      <c r="R16" s="539"/>
      <c r="S16" s="598"/>
    </row>
    <row r="17" spans="2:19" s="406" customFormat="1" ht="18" hidden="1" customHeight="1" outlineLevel="1" x14ac:dyDescent="0.15">
      <c r="B17" s="427">
        <v>3</v>
      </c>
      <c r="C17" s="428" t="s">
        <v>200</v>
      </c>
      <c r="D17" s="429">
        <v>44446</v>
      </c>
      <c r="E17" s="430"/>
      <c r="F17" s="430"/>
      <c r="G17" s="431"/>
      <c r="H17" s="431"/>
      <c r="I17" s="540"/>
      <c r="J17" s="430"/>
      <c r="K17" s="430"/>
      <c r="L17" s="538"/>
      <c r="M17" s="429">
        <v>44468</v>
      </c>
      <c r="N17" s="429"/>
      <c r="O17" s="539"/>
      <c r="P17" s="539"/>
      <c r="Q17" s="597"/>
      <c r="R17" s="539"/>
      <c r="S17" s="598"/>
    </row>
    <row r="18" spans="2:19" s="406" customFormat="1" ht="18" hidden="1" customHeight="1" outlineLevel="1" x14ac:dyDescent="0.15">
      <c r="B18" s="427">
        <v>4</v>
      </c>
      <c r="C18" s="428" t="s">
        <v>201</v>
      </c>
      <c r="D18" s="429">
        <v>44451</v>
      </c>
      <c r="E18" s="430"/>
      <c r="F18" s="430"/>
      <c r="G18" s="431"/>
      <c r="H18" s="431"/>
      <c r="I18" s="540"/>
      <c r="J18" s="430"/>
      <c r="K18" s="430"/>
      <c r="L18" s="538"/>
      <c r="M18" s="429">
        <v>44470</v>
      </c>
      <c r="N18" s="429"/>
      <c r="O18" s="539"/>
      <c r="P18" s="539"/>
      <c r="Q18" s="597"/>
      <c r="R18" s="539"/>
      <c r="S18" s="598"/>
    </row>
    <row r="19" spans="2:19" s="406" customFormat="1" ht="18" hidden="1" customHeight="1" outlineLevel="1" x14ac:dyDescent="0.15">
      <c r="B19" s="427">
        <v>5</v>
      </c>
      <c r="C19" s="428" t="s">
        <v>202</v>
      </c>
      <c r="D19" s="429">
        <v>44531</v>
      </c>
      <c r="E19" s="428"/>
      <c r="F19" s="430"/>
      <c r="G19" s="431"/>
      <c r="H19" s="431"/>
      <c r="I19" s="540"/>
      <c r="J19" s="430"/>
      <c r="K19" s="430"/>
      <c r="L19" s="538"/>
      <c r="M19" s="429" t="s">
        <v>203</v>
      </c>
      <c r="N19" s="429"/>
      <c r="O19" s="539"/>
      <c r="P19" s="539"/>
      <c r="Q19" s="597"/>
      <c r="R19" s="539"/>
      <c r="S19" s="598"/>
    </row>
    <row r="20" spans="2:19" s="406" customFormat="1" ht="18" hidden="1" customHeight="1" outlineLevel="1" x14ac:dyDescent="0.15">
      <c r="B20" s="427">
        <v>6</v>
      </c>
      <c r="C20" s="428" t="s">
        <v>204</v>
      </c>
      <c r="D20" s="429">
        <v>44864</v>
      </c>
      <c r="E20" s="430"/>
      <c r="F20" s="430"/>
      <c r="G20" s="431"/>
      <c r="H20" s="431"/>
      <c r="I20" s="540"/>
      <c r="J20" s="430"/>
      <c r="K20" s="430"/>
      <c r="L20" s="538"/>
      <c r="M20" s="429">
        <v>45656</v>
      </c>
      <c r="N20" s="429"/>
      <c r="O20" s="539"/>
      <c r="P20" s="539"/>
      <c r="Q20" s="597"/>
      <c r="R20" s="539"/>
      <c r="S20" s="598"/>
    </row>
    <row r="21" spans="2:19" s="406" customFormat="1" ht="18" hidden="1" customHeight="1" outlineLevel="1" x14ac:dyDescent="0.15">
      <c r="B21" s="427">
        <v>7</v>
      </c>
      <c r="C21" s="428" t="s">
        <v>205</v>
      </c>
      <c r="D21" s="429">
        <v>45046</v>
      </c>
      <c r="E21" s="430"/>
      <c r="F21" s="430"/>
      <c r="G21" s="431"/>
      <c r="H21" s="431"/>
      <c r="I21" s="540"/>
      <c r="J21" s="430"/>
      <c r="K21" s="430"/>
      <c r="L21" s="538"/>
      <c r="M21" s="429">
        <v>45777</v>
      </c>
      <c r="N21" s="429"/>
      <c r="O21" s="539"/>
      <c r="P21" s="539"/>
      <c r="Q21" s="597"/>
      <c r="R21" s="539"/>
      <c r="S21" s="598"/>
    </row>
    <row r="22" spans="2:19" s="406" customFormat="1" ht="18" hidden="1" customHeight="1" outlineLevel="1" x14ac:dyDescent="0.15">
      <c r="B22" s="427">
        <v>8</v>
      </c>
      <c r="C22" s="428" t="s">
        <v>206</v>
      </c>
      <c r="D22" s="429">
        <v>45107</v>
      </c>
      <c r="E22" s="430"/>
      <c r="F22" s="430"/>
      <c r="G22" s="431"/>
      <c r="H22" s="431"/>
      <c r="I22" s="540"/>
      <c r="J22" s="430"/>
      <c r="K22" s="430"/>
      <c r="L22" s="538"/>
      <c r="M22" s="429">
        <v>45838</v>
      </c>
      <c r="N22" s="429"/>
      <c r="O22" s="539"/>
      <c r="P22" s="539"/>
      <c r="Q22" s="597"/>
      <c r="R22" s="539"/>
      <c r="S22" s="598"/>
    </row>
    <row r="23" spans="2:19" s="406" customFormat="1" ht="18" hidden="1" customHeight="1" outlineLevel="1" x14ac:dyDescent="0.15">
      <c r="B23" s="427">
        <v>9</v>
      </c>
      <c r="C23" s="428" t="s">
        <v>207</v>
      </c>
      <c r="D23" s="432">
        <v>16445.84</v>
      </c>
      <c r="E23" s="430"/>
      <c r="F23" s="430"/>
      <c r="G23" s="431"/>
      <c r="H23" s="431"/>
      <c r="I23" s="540"/>
      <c r="J23" s="430"/>
      <c r="K23" s="430"/>
      <c r="L23" s="538"/>
      <c r="M23" s="432">
        <v>16445.84</v>
      </c>
      <c r="N23" s="432"/>
      <c r="O23" s="539"/>
      <c r="P23" s="539"/>
      <c r="Q23" s="597"/>
      <c r="R23" s="539"/>
      <c r="S23" s="598"/>
    </row>
    <row r="24" spans="2:19" s="406" customFormat="1" ht="18" hidden="1" customHeight="1" outlineLevel="1" x14ac:dyDescent="0.15">
      <c r="B24" s="427">
        <v>10</v>
      </c>
      <c r="C24" s="428" t="s">
        <v>208</v>
      </c>
      <c r="D24" s="433" t="s">
        <v>209</v>
      </c>
      <c r="E24" s="430"/>
      <c r="F24" s="430"/>
      <c r="G24" s="431"/>
      <c r="H24" s="431"/>
      <c r="I24" s="540"/>
      <c r="J24" s="430"/>
      <c r="K24" s="430"/>
      <c r="L24" s="538"/>
      <c r="M24" s="433" t="s">
        <v>209</v>
      </c>
      <c r="N24" s="432"/>
      <c r="O24" s="539"/>
      <c r="P24" s="539"/>
      <c r="Q24" s="597"/>
      <c r="R24" s="539"/>
      <c r="S24" s="598"/>
    </row>
    <row r="25" spans="2:19" s="406" customFormat="1" ht="18" hidden="1" customHeight="1" outlineLevel="1" x14ac:dyDescent="0.15">
      <c r="B25" s="427">
        <v>11</v>
      </c>
      <c r="C25" s="428" t="s">
        <v>210</v>
      </c>
      <c r="D25" s="432">
        <v>3.6</v>
      </c>
      <c r="E25" s="430"/>
      <c r="F25" s="430"/>
      <c r="G25" s="431"/>
      <c r="H25" s="431"/>
      <c r="I25" s="540"/>
      <c r="J25" s="430"/>
      <c r="K25" s="430"/>
      <c r="L25" s="538"/>
      <c r="M25" s="432">
        <v>3.6</v>
      </c>
      <c r="N25" s="432"/>
      <c r="O25" s="539"/>
      <c r="P25" s="539"/>
      <c r="Q25" s="597"/>
      <c r="R25" s="539"/>
      <c r="S25" s="598"/>
    </row>
    <row r="26" spans="2:19" s="406" customFormat="1" ht="18" hidden="1" customHeight="1" outlineLevel="1" x14ac:dyDescent="0.15">
      <c r="B26" s="427">
        <v>12</v>
      </c>
      <c r="C26" s="428" t="s">
        <v>211</v>
      </c>
      <c r="D26" s="432">
        <v>1117.17</v>
      </c>
      <c r="E26" s="430"/>
      <c r="F26" s="430"/>
      <c r="G26" s="431"/>
      <c r="H26" s="431"/>
      <c r="I26" s="540"/>
      <c r="J26" s="430"/>
      <c r="K26" s="430"/>
      <c r="L26" s="538"/>
      <c r="M26" s="432">
        <v>2137.91</v>
      </c>
      <c r="N26" s="432"/>
      <c r="O26" s="539"/>
      <c r="P26" s="539"/>
      <c r="Q26" s="597"/>
      <c r="R26" s="539"/>
      <c r="S26" s="598"/>
    </row>
    <row r="27" spans="2:19" s="406" customFormat="1" ht="18" hidden="1" customHeight="1" outlineLevel="1" x14ac:dyDescent="0.15">
      <c r="B27" s="427">
        <v>13</v>
      </c>
      <c r="C27" s="434" t="s">
        <v>212</v>
      </c>
      <c r="D27" s="432" t="s">
        <v>213</v>
      </c>
      <c r="E27" s="430"/>
      <c r="F27" s="430"/>
      <c r="G27" s="431"/>
      <c r="H27" s="431"/>
      <c r="I27" s="540"/>
      <c r="J27" s="430"/>
      <c r="K27" s="430"/>
      <c r="L27" s="538"/>
      <c r="M27" s="432" t="s">
        <v>214</v>
      </c>
      <c r="N27" s="432"/>
      <c r="O27" s="539"/>
      <c r="P27" s="539"/>
      <c r="Q27" s="597"/>
      <c r="R27" s="539"/>
      <c r="S27" s="598"/>
    </row>
    <row r="28" spans="2:19" s="406" customFormat="1" ht="18" hidden="1" customHeight="1" outlineLevel="1" x14ac:dyDescent="0.15">
      <c r="B28" s="427">
        <v>14</v>
      </c>
      <c r="C28" s="435" t="s">
        <v>215</v>
      </c>
      <c r="D28" s="436" t="s">
        <v>216</v>
      </c>
      <c r="E28" s="437"/>
      <c r="F28" s="437"/>
      <c r="G28" s="438"/>
      <c r="H28" s="438"/>
      <c r="I28" s="541"/>
      <c r="J28" s="437"/>
      <c r="K28" s="437"/>
      <c r="L28" s="542"/>
      <c r="M28" s="436" t="s">
        <v>217</v>
      </c>
      <c r="N28" s="436"/>
      <c r="O28" s="543"/>
      <c r="P28" s="543"/>
      <c r="Q28" s="599"/>
      <c r="R28" s="543"/>
      <c r="S28" s="600"/>
    </row>
    <row r="29" spans="2:19" s="406" customFormat="1" ht="13.5" collapsed="1" x14ac:dyDescent="0.15">
      <c r="B29" s="439" t="s">
        <v>28</v>
      </c>
      <c r="C29" s="440"/>
      <c r="D29" s="441"/>
      <c r="E29" s="442"/>
      <c r="F29" s="442">
        <v>76512.740000000005</v>
      </c>
      <c r="G29" s="442"/>
      <c r="H29" s="442"/>
      <c r="I29" s="544"/>
      <c r="J29" s="442"/>
      <c r="K29" s="442"/>
      <c r="L29" s="545"/>
      <c r="M29" s="546"/>
      <c r="N29" s="546"/>
      <c r="O29" s="546"/>
      <c r="P29" s="546"/>
      <c r="Q29" s="601"/>
      <c r="R29" s="546"/>
      <c r="S29" s="602"/>
    </row>
    <row r="30" spans="2:19" s="407" customFormat="1" ht="24" customHeight="1" x14ac:dyDescent="0.15">
      <c r="B30" s="1292" t="s">
        <v>15</v>
      </c>
      <c r="C30" s="1293"/>
      <c r="D30" s="443" t="s">
        <v>35</v>
      </c>
      <c r="E30" s="444" t="s">
        <v>36</v>
      </c>
      <c r="F30" s="445" t="s">
        <v>37</v>
      </c>
      <c r="G30" s="446" t="s">
        <v>38</v>
      </c>
      <c r="H30" s="447" t="s">
        <v>37</v>
      </c>
      <c r="I30" s="547" t="s">
        <v>21</v>
      </c>
      <c r="J30" s="548" t="s">
        <v>22</v>
      </c>
      <c r="K30" s="447" t="s">
        <v>37</v>
      </c>
      <c r="L30" s="549" t="s">
        <v>21</v>
      </c>
      <c r="M30" s="1385" t="s">
        <v>38</v>
      </c>
      <c r="N30" s="1386"/>
      <c r="O30" s="1387" t="s">
        <v>37</v>
      </c>
      <c r="P30" s="1388"/>
      <c r="Q30" s="549" t="s">
        <v>21</v>
      </c>
      <c r="R30" s="603" t="s">
        <v>36</v>
      </c>
      <c r="S30" s="604" t="s">
        <v>39</v>
      </c>
    </row>
    <row r="31" spans="2:19" s="407" customFormat="1" ht="21" customHeight="1" x14ac:dyDescent="0.15">
      <c r="B31" s="1297" t="s">
        <v>43</v>
      </c>
      <c r="C31" s="1298"/>
      <c r="D31" s="448"/>
      <c r="E31" s="449"/>
      <c r="F31" s="450"/>
      <c r="G31" s="451"/>
      <c r="H31" s="452"/>
      <c r="I31" s="448"/>
      <c r="J31" s="449"/>
      <c r="K31" s="452"/>
      <c r="L31" s="550"/>
      <c r="M31" s="551"/>
      <c r="N31" s="552"/>
      <c r="O31" s="1389"/>
      <c r="P31" s="1390"/>
      <c r="Q31" s="605"/>
      <c r="R31" s="606"/>
      <c r="S31" s="607"/>
    </row>
    <row r="32" spans="2:19" s="408" customFormat="1" ht="17.100000000000001" customHeight="1" x14ac:dyDescent="0.15">
      <c r="B32" s="453" t="s">
        <v>40</v>
      </c>
      <c r="C32" s="454" t="s">
        <v>48</v>
      </c>
      <c r="D32" s="455"/>
      <c r="E32" s="456">
        <f>E33</f>
        <v>89846</v>
      </c>
      <c r="F32" s="457">
        <f>F33</f>
        <v>11742.619595115801</v>
      </c>
      <c r="G32" s="458">
        <f>G33</f>
        <v>0</v>
      </c>
      <c r="H32" s="459">
        <f>H33</f>
        <v>0</v>
      </c>
      <c r="I32" s="554"/>
      <c r="J32" s="456">
        <f>J33</f>
        <v>58111</v>
      </c>
      <c r="K32" s="457">
        <f>K33</f>
        <v>7594.9443190767997</v>
      </c>
      <c r="L32" s="555"/>
      <c r="M32" s="1391">
        <f>M33</f>
        <v>135</v>
      </c>
      <c r="N32" s="1392"/>
      <c r="O32" s="1393">
        <f>O33</f>
        <v>17.6441204432099</v>
      </c>
      <c r="P32" s="1394"/>
      <c r="Q32" s="608"/>
      <c r="R32" s="609">
        <f>R33</f>
        <v>58111</v>
      </c>
      <c r="S32" s="610">
        <f>S33</f>
        <v>7594.9443190767997</v>
      </c>
    </row>
    <row r="33" spans="2:20" s="406" customFormat="1" ht="14.1" customHeight="1" outlineLevel="1" x14ac:dyDescent="0.3">
      <c r="B33" s="460">
        <v>1</v>
      </c>
      <c r="C33" s="461" t="s">
        <v>54</v>
      </c>
      <c r="D33" s="462"/>
      <c r="E33" s="463">
        <v>89846</v>
      </c>
      <c r="F33" s="464">
        <f t="shared" ref="F33:F55" si="0">E33/F$29*10000</f>
        <v>11742.619595115801</v>
      </c>
      <c r="G33" s="465">
        <v>0</v>
      </c>
      <c r="H33" s="466">
        <f>G33/F$29*10000</f>
        <v>0</v>
      </c>
      <c r="I33" s="556"/>
      <c r="J33" s="557">
        <f>SUM(J34:J36)</f>
        <v>58111</v>
      </c>
      <c r="K33" s="558">
        <f>J33/F$29*10000</f>
        <v>7594.9443190767997</v>
      </c>
      <c r="L33" s="559"/>
      <c r="M33" s="1395">
        <f>M34+M35+M36</f>
        <v>135</v>
      </c>
      <c r="N33" s="1395"/>
      <c r="O33" s="1396">
        <f>M33/F$29*10000</f>
        <v>17.6441204432099</v>
      </c>
      <c r="P33" s="1397"/>
      <c r="Q33" s="611"/>
      <c r="R33" s="612">
        <f>J33</f>
        <v>58111</v>
      </c>
      <c r="S33" s="613">
        <f>R33/F$29*10000</f>
        <v>7594.9443190767997</v>
      </c>
    </row>
    <row r="34" spans="2:20" s="406" customFormat="1" ht="14.1" customHeight="1" outlineLevel="2" x14ac:dyDescent="0.3">
      <c r="B34" s="467">
        <v>1.1000000000000001</v>
      </c>
      <c r="C34" s="468" t="s">
        <v>60</v>
      </c>
      <c r="D34" s="469" t="s">
        <v>218</v>
      </c>
      <c r="E34" s="470">
        <v>76173</v>
      </c>
      <c r="F34" s="471">
        <f t="shared" si="0"/>
        <v>9955.59693718981</v>
      </c>
      <c r="G34" s="472">
        <v>0</v>
      </c>
      <c r="H34" s="473">
        <f>G34/F$29*10000</f>
        <v>0</v>
      </c>
      <c r="I34" s="560" t="s">
        <v>219</v>
      </c>
      <c r="J34" s="561">
        <v>42935</v>
      </c>
      <c r="K34" s="562">
        <f>J34/F$29*10000</f>
        <v>5611.48378688307</v>
      </c>
      <c r="L34" s="560" t="s">
        <v>220</v>
      </c>
      <c r="M34" s="1398">
        <f>G34+135</f>
        <v>135</v>
      </c>
      <c r="N34" s="1398"/>
      <c r="O34" s="1399">
        <f>M34/F$29*10000</f>
        <v>17.6441204432099</v>
      </c>
      <c r="P34" s="1400"/>
      <c r="Q34" s="614" t="s">
        <v>219</v>
      </c>
      <c r="R34" s="615">
        <f>J34</f>
        <v>42935</v>
      </c>
      <c r="S34" s="616">
        <f>R34/F$29*10000</f>
        <v>5611.48378688307</v>
      </c>
    </row>
    <row r="35" spans="2:20" s="406" customFormat="1" ht="14.1" customHeight="1" outlineLevel="2" x14ac:dyDescent="0.3">
      <c r="B35" s="467">
        <v>1.2</v>
      </c>
      <c r="C35" s="468" t="s">
        <v>65</v>
      </c>
      <c r="D35" s="469" t="s">
        <v>221</v>
      </c>
      <c r="E35" s="470">
        <v>9121</v>
      </c>
      <c r="F35" s="471">
        <f t="shared" si="0"/>
        <v>1192.0890560186399</v>
      </c>
      <c r="G35" s="472">
        <v>0</v>
      </c>
      <c r="H35" s="473">
        <f>G35/F$29*10000</f>
        <v>0</v>
      </c>
      <c r="I35" s="560" t="s">
        <v>222</v>
      </c>
      <c r="J35" s="561">
        <v>8576</v>
      </c>
      <c r="K35" s="562">
        <f>J35/F$29*10000</f>
        <v>1120.8590883034601</v>
      </c>
      <c r="L35" s="564"/>
      <c r="M35" s="1398">
        <f>G35</f>
        <v>0</v>
      </c>
      <c r="N35" s="1398"/>
      <c r="O35" s="1399">
        <f>M35/F$29*10000</f>
        <v>0</v>
      </c>
      <c r="P35" s="1400"/>
      <c r="Q35" s="614" t="s">
        <v>222</v>
      </c>
      <c r="R35" s="615">
        <f>J35</f>
        <v>8576</v>
      </c>
      <c r="S35" s="616">
        <f>R35/F$29*10000</f>
        <v>1120.8590883034601</v>
      </c>
    </row>
    <row r="36" spans="2:20" s="406" customFormat="1" ht="16.5" customHeight="1" outlineLevel="2" x14ac:dyDescent="0.3">
      <c r="B36" s="467">
        <v>1.3</v>
      </c>
      <c r="C36" s="468" t="s">
        <v>71</v>
      </c>
      <c r="D36" s="469" t="s">
        <v>223</v>
      </c>
      <c r="E36" s="470">
        <v>4552</v>
      </c>
      <c r="F36" s="471">
        <f t="shared" si="0"/>
        <v>594.93360190734199</v>
      </c>
      <c r="G36" s="472">
        <v>0</v>
      </c>
      <c r="H36" s="473">
        <f>G36/F$29*10000</f>
        <v>0</v>
      </c>
      <c r="I36" s="560" t="s">
        <v>224</v>
      </c>
      <c r="J36" s="561">
        <v>6599.99999999999</v>
      </c>
      <c r="K36" s="562">
        <f>J36/F$29*10000</f>
        <v>862.601443890258</v>
      </c>
      <c r="L36" s="564"/>
      <c r="M36" s="1398">
        <f>G36</f>
        <v>0</v>
      </c>
      <c r="N36" s="1398"/>
      <c r="O36" s="1399">
        <f>M36/F$29*10000</f>
        <v>0</v>
      </c>
      <c r="P36" s="1400"/>
      <c r="Q36" s="614" t="s">
        <v>224</v>
      </c>
      <c r="R36" s="615">
        <f>J36</f>
        <v>6599.99999999999</v>
      </c>
      <c r="S36" s="616">
        <f>R36/F$29*10000</f>
        <v>862.601443890258</v>
      </c>
    </row>
    <row r="37" spans="2:20" s="406" customFormat="1" ht="14.1" customHeight="1" x14ac:dyDescent="0.3">
      <c r="B37" s="474" t="s">
        <v>45</v>
      </c>
      <c r="C37" s="475" t="s">
        <v>75</v>
      </c>
      <c r="D37" s="476"/>
      <c r="E37" s="477">
        <f>E38+E44+E45+E48+E52+E56</f>
        <v>83800</v>
      </c>
      <c r="F37" s="478">
        <f t="shared" si="0"/>
        <v>10952.4243936369</v>
      </c>
      <c r="G37" s="479">
        <f>G38+G44+G45+G48+G52+G56</f>
        <v>43443.368875</v>
      </c>
      <c r="H37" s="480">
        <f>H38+H44+H45+H48+H52+H56</f>
        <v>5677.9261695503301</v>
      </c>
      <c r="I37" s="565"/>
      <c r="J37" s="566">
        <f>J38+J44+J45+J48+J52+J56</f>
        <v>66380.337361990794</v>
      </c>
      <c r="K37" s="567">
        <f>K38+K44+K45+K48+K52+K56</f>
        <v>8675.7234627842099</v>
      </c>
      <c r="L37" s="568"/>
      <c r="M37" s="1401">
        <f>M38+M44+M45+M48+M52+M56</f>
        <v>45307.190006999997</v>
      </c>
      <c r="N37" s="1401"/>
      <c r="O37" s="1402">
        <f>O38+O44+O45+O48+O52+O56</f>
        <v>5921.5223513103801</v>
      </c>
      <c r="P37" s="1403"/>
      <c r="Q37" s="617"/>
      <c r="R37" s="618">
        <f>R38+R44+R45+R48+R52+R56</f>
        <v>66380.337361990794</v>
      </c>
      <c r="S37" s="619">
        <f>S38+S44+S45+S48+S52+S56</f>
        <v>8675.7234627842099</v>
      </c>
    </row>
    <row r="38" spans="2:20" s="406" customFormat="1" ht="14.1" customHeight="1" outlineLevel="1" x14ac:dyDescent="0.3">
      <c r="B38" s="467">
        <v>2.1</v>
      </c>
      <c r="C38" s="481" t="s">
        <v>81</v>
      </c>
      <c r="D38" s="482">
        <f t="shared" ref="D38:D42" si="1">E38/$E$32</f>
        <v>0.69974178037976098</v>
      </c>
      <c r="E38" s="483">
        <f>E39+E40</f>
        <v>62869</v>
      </c>
      <c r="F38" s="484">
        <f t="shared" si="0"/>
        <v>8216.8015418085906</v>
      </c>
      <c r="G38" s="485">
        <f>G39+G40</f>
        <v>40962.042765999999</v>
      </c>
      <c r="H38" s="473">
        <f t="shared" ref="H38:H57" si="2">G38/F$29*10000</f>
        <v>5353.6238234312304</v>
      </c>
      <c r="I38" s="569">
        <f t="shared" ref="I38:I40" si="3">J38/$J$32</f>
        <v>0.927000901722566</v>
      </c>
      <c r="J38" s="570">
        <f t="shared" ref="J38:M38" si="4">J39+J40</f>
        <v>53868.949399999998</v>
      </c>
      <c r="K38" s="562">
        <f t="shared" ref="K38:K55" si="5">J38/F$29*10000</f>
        <v>7040.5202323168696</v>
      </c>
      <c r="L38" s="571"/>
      <c r="M38" s="1404">
        <f t="shared" si="4"/>
        <v>42848.857845999999</v>
      </c>
      <c r="N38" s="1404"/>
      <c r="O38" s="1399">
        <f t="shared" ref="O38:O56" si="6">M38/F$29*10000</f>
        <v>5600.2252495466801</v>
      </c>
      <c r="P38" s="1400"/>
      <c r="Q38" s="620">
        <f t="shared" ref="Q38:Q40" si="7">R38/$R$32</f>
        <v>0.927000901722566</v>
      </c>
      <c r="R38" s="621">
        <f>R39+R40</f>
        <v>53868.949399999998</v>
      </c>
      <c r="S38" s="616">
        <f t="shared" ref="S38:S56" si="8">R38/F$29*10000</f>
        <v>7040.5202323168696</v>
      </c>
    </row>
    <row r="39" spans="2:20" s="406" customFormat="1" ht="14.1" hidden="1" customHeight="1" outlineLevel="2" x14ac:dyDescent="0.3">
      <c r="B39" s="467" t="s">
        <v>225</v>
      </c>
      <c r="C39" s="481" t="s">
        <v>131</v>
      </c>
      <c r="D39" s="482">
        <f t="shared" si="1"/>
        <v>5.0642210003784299E-2</v>
      </c>
      <c r="E39" s="483">
        <v>4550</v>
      </c>
      <c r="F39" s="484">
        <f t="shared" si="0"/>
        <v>594.67220753040601</v>
      </c>
      <c r="G39" s="486">
        <v>4148.6409469999999</v>
      </c>
      <c r="H39" s="487">
        <f t="shared" si="2"/>
        <v>542.21570773703797</v>
      </c>
      <c r="I39" s="569">
        <f t="shared" si="3"/>
        <v>7.8298428868888895E-2</v>
      </c>
      <c r="J39" s="572">
        <v>4550</v>
      </c>
      <c r="K39" s="573">
        <f t="shared" si="5"/>
        <v>594.67220753040601</v>
      </c>
      <c r="L39" s="571"/>
      <c r="M39" s="1398">
        <f>G39</f>
        <v>4148.6409469999999</v>
      </c>
      <c r="N39" s="1398"/>
      <c r="O39" s="1399">
        <f t="shared" si="6"/>
        <v>542.21570773703797</v>
      </c>
      <c r="P39" s="1405"/>
      <c r="Q39" s="620">
        <f t="shared" si="7"/>
        <v>7.8298428868888895E-2</v>
      </c>
      <c r="R39" s="615">
        <f t="shared" ref="R39:R56" si="9">J39</f>
        <v>4550</v>
      </c>
      <c r="S39" s="616">
        <f t="shared" si="8"/>
        <v>594.67220753040601</v>
      </c>
    </row>
    <row r="40" spans="2:20" s="406" customFormat="1" ht="14.1" hidden="1" customHeight="1" outlineLevel="2" x14ac:dyDescent="0.2">
      <c r="B40" s="488" t="s">
        <v>226</v>
      </c>
      <c r="C40" s="481" t="s">
        <v>132</v>
      </c>
      <c r="D40" s="482">
        <f t="shared" si="1"/>
        <v>0.64909957037597699</v>
      </c>
      <c r="E40" s="483">
        <f>E41+E42</f>
        <v>58319</v>
      </c>
      <c r="F40" s="489">
        <f t="shared" si="0"/>
        <v>7622.1293342781901</v>
      </c>
      <c r="G40" s="472">
        <f>G41+G42</f>
        <v>36813.401818999999</v>
      </c>
      <c r="H40" s="473">
        <f t="shared" si="2"/>
        <v>4811.4081156942002</v>
      </c>
      <c r="I40" s="569">
        <f t="shared" si="3"/>
        <v>0.84870247285367695</v>
      </c>
      <c r="J40" s="561">
        <f>SUM(J41:J42)</f>
        <v>49318.949399999998</v>
      </c>
      <c r="K40" s="562">
        <f t="shared" si="5"/>
        <v>6445.84802478646</v>
      </c>
      <c r="L40" s="571"/>
      <c r="M40" s="1398">
        <f>38700.216899</f>
        <v>38700.216898999999</v>
      </c>
      <c r="N40" s="1398"/>
      <c r="O40" s="1399">
        <f t="shared" si="6"/>
        <v>5058.0095418096398</v>
      </c>
      <c r="P40" s="1405"/>
      <c r="Q40" s="622">
        <f t="shared" si="7"/>
        <v>0.84870247285367695</v>
      </c>
      <c r="R40" s="615">
        <f t="shared" si="9"/>
        <v>49318.949399999998</v>
      </c>
      <c r="S40" s="616">
        <f t="shared" si="8"/>
        <v>6445.84802478646</v>
      </c>
    </row>
    <row r="41" spans="2:20" s="409" customFormat="1" ht="14.1" hidden="1" customHeight="1" outlineLevel="2" x14ac:dyDescent="0.3">
      <c r="B41" s="490" t="s">
        <v>227</v>
      </c>
      <c r="C41" s="491" t="s">
        <v>133</v>
      </c>
      <c r="D41" s="482">
        <f t="shared" si="1"/>
        <v>0.36583709903612799</v>
      </c>
      <c r="E41" s="492">
        <f>58319-E42</f>
        <v>32869</v>
      </c>
      <c r="F41" s="493">
        <f t="shared" si="0"/>
        <v>4295.8858877619596</v>
      </c>
      <c r="G41" s="494">
        <v>13121.056756</v>
      </c>
      <c r="H41" s="495">
        <f t="shared" si="2"/>
        <v>1714.88522774116</v>
      </c>
      <c r="I41" s="574" t="s">
        <v>228</v>
      </c>
      <c r="J41" s="575">
        <f>3100*F29/10000</f>
        <v>23718.949400000001</v>
      </c>
      <c r="K41" s="576">
        <f t="shared" si="5"/>
        <v>3100</v>
      </c>
      <c r="L41" s="571"/>
      <c r="M41" s="1398">
        <f>M40-M42+411.66666</f>
        <v>15419.538495999999</v>
      </c>
      <c r="N41" s="1398"/>
      <c r="O41" s="1399">
        <f t="shared" si="6"/>
        <v>2015.2903289046999</v>
      </c>
      <c r="P41" s="1405"/>
      <c r="Q41" s="623" t="s">
        <v>228</v>
      </c>
      <c r="R41" s="624">
        <f t="shared" si="9"/>
        <v>23718.949400000001</v>
      </c>
      <c r="S41" s="625">
        <f t="shared" si="8"/>
        <v>3100</v>
      </c>
      <c r="T41" s="409" t="s">
        <v>229</v>
      </c>
    </row>
    <row r="42" spans="2:20" s="406" customFormat="1" ht="14.1" hidden="1" customHeight="1" outlineLevel="2" x14ac:dyDescent="0.3">
      <c r="B42" s="488" t="s">
        <v>230</v>
      </c>
      <c r="C42" s="481" t="s">
        <v>134</v>
      </c>
      <c r="D42" s="482">
        <f t="shared" si="1"/>
        <v>0.283262471339848</v>
      </c>
      <c r="E42" s="483">
        <f>30000-E39</f>
        <v>25450</v>
      </c>
      <c r="F42" s="484">
        <f t="shared" si="0"/>
        <v>3326.2434465162301</v>
      </c>
      <c r="G42" s="472">
        <v>23692.345063000001</v>
      </c>
      <c r="H42" s="473">
        <f t="shared" si="2"/>
        <v>3096.52288795304</v>
      </c>
      <c r="I42" s="577" t="s">
        <v>231</v>
      </c>
      <c r="J42" s="561">
        <v>25600</v>
      </c>
      <c r="K42" s="562">
        <f t="shared" si="5"/>
        <v>3345.84802478646</v>
      </c>
      <c r="L42" s="571"/>
      <c r="M42" s="1398">
        <v>23692.345063000001</v>
      </c>
      <c r="N42" s="1398"/>
      <c r="O42" s="1399">
        <f t="shared" si="6"/>
        <v>3096.52288795304</v>
      </c>
      <c r="P42" s="1405"/>
      <c r="Q42" s="626" t="s">
        <v>231</v>
      </c>
      <c r="R42" s="615">
        <f t="shared" si="9"/>
        <v>25600</v>
      </c>
      <c r="S42" s="616">
        <f t="shared" si="8"/>
        <v>3345.84802478646</v>
      </c>
    </row>
    <row r="43" spans="2:20" s="406" customFormat="1" ht="14.1" hidden="1" customHeight="1" outlineLevel="2" x14ac:dyDescent="0.3">
      <c r="B43" s="496"/>
      <c r="C43" s="497" t="s">
        <v>137</v>
      </c>
      <c r="D43" s="498">
        <f>E43/$E$33</f>
        <v>0.15291721389933899</v>
      </c>
      <c r="E43" s="499">
        <f t="shared" ref="E43:G43" si="10">E44+E45+E48</f>
        <v>13739</v>
      </c>
      <c r="F43" s="500">
        <f t="shared" si="0"/>
        <v>1795.64867236489</v>
      </c>
      <c r="G43" s="501">
        <f t="shared" si="10"/>
        <v>2468.819434</v>
      </c>
      <c r="H43" s="502">
        <f t="shared" si="2"/>
        <v>322.667758859505</v>
      </c>
      <c r="I43" s="578">
        <f t="shared" ref="I43:I47" si="11">J43/$J$32</f>
        <v>0.20718781504362299</v>
      </c>
      <c r="J43" s="579">
        <f>+J44+J45+J48</f>
        <v>12039.89112</v>
      </c>
      <c r="K43" s="580">
        <f t="shared" si="5"/>
        <v>1573.5799188475</v>
      </c>
      <c r="L43" s="571"/>
      <c r="M43" s="1398">
        <f>M44+M45+M48</f>
        <v>2437.8115299999999</v>
      </c>
      <c r="N43" s="1398"/>
      <c r="O43" s="1399">
        <f t="shared" si="6"/>
        <v>318.61511298641199</v>
      </c>
      <c r="P43" s="1405"/>
      <c r="Q43" s="627">
        <f t="shared" ref="Q43:Q47" si="12">R43/$R$32</f>
        <v>0.20718781504362299</v>
      </c>
      <c r="R43" s="628">
        <f t="shared" si="9"/>
        <v>12039.89112</v>
      </c>
      <c r="S43" s="629">
        <f t="shared" si="8"/>
        <v>1573.5799188475</v>
      </c>
    </row>
    <row r="44" spans="2:20" s="406" customFormat="1" ht="14.1" customHeight="1" outlineLevel="1" collapsed="1" x14ac:dyDescent="0.15">
      <c r="B44" s="467">
        <v>2.2000000000000002</v>
      </c>
      <c r="C44" s="468" t="s">
        <v>89</v>
      </c>
      <c r="D44" s="503">
        <f t="shared" ref="D44:D47" si="13">E44/$E$33</f>
        <v>2.29949023885315E-2</v>
      </c>
      <c r="E44" s="470">
        <v>2066</v>
      </c>
      <c r="F44" s="504">
        <f t="shared" si="0"/>
        <v>270.02039137534501</v>
      </c>
      <c r="G44" s="505">
        <v>482.096316</v>
      </c>
      <c r="H44" s="487">
        <f t="shared" si="2"/>
        <v>63.0086330720871</v>
      </c>
      <c r="I44" s="577" t="s">
        <v>232</v>
      </c>
      <c r="J44" s="561">
        <v>3370.446062</v>
      </c>
      <c r="K44" s="562">
        <f t="shared" si="5"/>
        <v>440.50782418718802</v>
      </c>
      <c r="L44" s="571"/>
      <c r="M44" s="1398">
        <v>744.192228</v>
      </c>
      <c r="N44" s="1398"/>
      <c r="O44" s="1399">
        <f t="shared" si="6"/>
        <v>97.263831879501396</v>
      </c>
      <c r="P44" s="1405"/>
      <c r="Q44" s="630" t="s">
        <v>232</v>
      </c>
      <c r="R44" s="615">
        <f t="shared" si="9"/>
        <v>3370.446062</v>
      </c>
      <c r="S44" s="616">
        <f t="shared" si="8"/>
        <v>440.50782418718802</v>
      </c>
    </row>
    <row r="45" spans="2:20" s="406" customFormat="1" ht="14.1" customHeight="1" outlineLevel="1" x14ac:dyDescent="0.15">
      <c r="B45" s="467">
        <v>2.2999999999999998</v>
      </c>
      <c r="C45" s="468" t="s">
        <v>93</v>
      </c>
      <c r="D45" s="506">
        <f t="shared" ref="D45:D56" si="14">E45/$E$32</f>
        <v>6.1994969169467798E-2</v>
      </c>
      <c r="E45" s="470">
        <f>SUM(E46:E47)</f>
        <v>5570</v>
      </c>
      <c r="F45" s="504">
        <f t="shared" si="0"/>
        <v>727.98333976799199</v>
      </c>
      <c r="G45" s="505">
        <f>SUM(G46:G47)</f>
        <v>1416.146369</v>
      </c>
      <c r="H45" s="487">
        <f t="shared" si="2"/>
        <v>185.08634888777999</v>
      </c>
      <c r="I45" s="577" t="s">
        <v>233</v>
      </c>
      <c r="J45" s="561">
        <v>1278.445058</v>
      </c>
      <c r="K45" s="562">
        <f t="shared" si="5"/>
        <v>167.08917469169199</v>
      </c>
      <c r="L45" s="571"/>
      <c r="M45" s="1398">
        <f>SUM(M46:M47)</f>
        <v>1534.2789170000001</v>
      </c>
      <c r="N45" s="1398"/>
      <c r="O45" s="1399">
        <f t="shared" si="6"/>
        <v>200.52594077796701</v>
      </c>
      <c r="P45" s="1405"/>
      <c r="Q45" s="630" t="s">
        <v>233</v>
      </c>
      <c r="R45" s="615">
        <f t="shared" si="9"/>
        <v>1278.445058</v>
      </c>
      <c r="S45" s="616">
        <f t="shared" si="8"/>
        <v>167.08917469169199</v>
      </c>
    </row>
    <row r="46" spans="2:20" s="406" customFormat="1" ht="14.1" hidden="1" customHeight="1" outlineLevel="2" x14ac:dyDescent="0.3">
      <c r="B46" s="467" t="s">
        <v>234</v>
      </c>
      <c r="C46" s="468" t="s">
        <v>138</v>
      </c>
      <c r="D46" s="507">
        <f>E46/$E$33</f>
        <v>3.1999198628764797E-2</v>
      </c>
      <c r="E46" s="470">
        <v>2875</v>
      </c>
      <c r="F46" s="471">
        <f t="shared" si="0"/>
        <v>375.754416846136</v>
      </c>
      <c r="G46" s="508">
        <f>417.583156029703+99.693745+601.839765</f>
        <v>1119.1166660296999</v>
      </c>
      <c r="H46" s="473">
        <f t="shared" si="2"/>
        <v>146.26540181801099</v>
      </c>
      <c r="I46" s="577">
        <f t="shared" si="11"/>
        <v>1.68886330476107E-2</v>
      </c>
      <c r="J46" s="561">
        <f>J45-J47</f>
        <v>981.41535502970305</v>
      </c>
      <c r="K46" s="562">
        <f t="shared" si="5"/>
        <v>128.26822762192299</v>
      </c>
      <c r="L46" s="571"/>
      <c r="M46" s="1398">
        <f>569.759182029703+65.650267+601.839765</f>
        <v>1237.2492140296999</v>
      </c>
      <c r="N46" s="1398"/>
      <c r="O46" s="1399">
        <f t="shared" si="6"/>
        <v>161.704993708199</v>
      </c>
      <c r="P46" s="1405"/>
      <c r="Q46" s="631">
        <f t="shared" si="12"/>
        <v>1.68886330476107E-2</v>
      </c>
      <c r="R46" s="615">
        <f>R45-R47</f>
        <v>981.41535502970305</v>
      </c>
      <c r="S46" s="616">
        <f t="shared" si="8"/>
        <v>128.26822762192299</v>
      </c>
    </row>
    <row r="47" spans="2:20" s="406" customFormat="1" ht="14.1" hidden="1" customHeight="1" outlineLevel="2" x14ac:dyDescent="0.3">
      <c r="B47" s="467" t="s">
        <v>235</v>
      </c>
      <c r="C47" s="468" t="s">
        <v>139</v>
      </c>
      <c r="D47" s="503">
        <f t="shared" si="13"/>
        <v>2.9995770540703001E-2</v>
      </c>
      <c r="E47" s="470">
        <v>2695</v>
      </c>
      <c r="F47" s="471">
        <f t="shared" si="0"/>
        <v>352.228922921856</v>
      </c>
      <c r="G47" s="508">
        <v>297.02970297029702</v>
      </c>
      <c r="H47" s="473">
        <f t="shared" si="2"/>
        <v>38.8209470697686</v>
      </c>
      <c r="I47" s="577">
        <f t="shared" si="11"/>
        <v>5.11141957581692E-3</v>
      </c>
      <c r="J47" s="561">
        <f>G47</f>
        <v>297.02970297029702</v>
      </c>
      <c r="K47" s="562">
        <f t="shared" si="5"/>
        <v>38.8209470697686</v>
      </c>
      <c r="L47" s="571"/>
      <c r="M47" s="1398">
        <v>297.02970297029702</v>
      </c>
      <c r="N47" s="1398"/>
      <c r="O47" s="1399">
        <f t="shared" si="6"/>
        <v>38.8209470697686</v>
      </c>
      <c r="P47" s="1405"/>
      <c r="Q47" s="631">
        <f t="shared" si="12"/>
        <v>5.11141957581692E-3</v>
      </c>
      <c r="R47" s="615">
        <f>M47</f>
        <v>297.02970297029702</v>
      </c>
      <c r="S47" s="616">
        <f t="shared" si="8"/>
        <v>38.8209470697686</v>
      </c>
    </row>
    <row r="48" spans="2:20" s="406" customFormat="1" ht="14.1" customHeight="1" outlineLevel="1" collapsed="1" x14ac:dyDescent="0.15">
      <c r="B48" s="467">
        <v>2.4</v>
      </c>
      <c r="C48" s="468" t="s">
        <v>98</v>
      </c>
      <c r="D48" s="506">
        <f t="shared" si="14"/>
        <v>6.7927342341339597E-2</v>
      </c>
      <c r="E48" s="470">
        <f>SUM(E49:E51)</f>
        <v>6103</v>
      </c>
      <c r="F48" s="509">
        <f t="shared" si="0"/>
        <v>797.64494122155304</v>
      </c>
      <c r="G48" s="508">
        <f>SUM(G49:G51)</f>
        <v>570.57674899999995</v>
      </c>
      <c r="H48" s="473">
        <f t="shared" si="2"/>
        <v>74.572776899637901</v>
      </c>
      <c r="I48" s="577" t="s">
        <v>236</v>
      </c>
      <c r="J48" s="572">
        <v>7391</v>
      </c>
      <c r="K48" s="562">
        <f t="shared" si="5"/>
        <v>965.98291996862201</v>
      </c>
      <c r="L48" s="571"/>
      <c r="M48" s="1398">
        <f>SUM(M49:M51)</f>
        <v>159.340385</v>
      </c>
      <c r="N48" s="1398"/>
      <c r="O48" s="1399">
        <f t="shared" si="6"/>
        <v>20.825340328943899</v>
      </c>
      <c r="P48" s="1405"/>
      <c r="Q48" s="630" t="s">
        <v>236</v>
      </c>
      <c r="R48" s="615">
        <f t="shared" si="9"/>
        <v>7391</v>
      </c>
      <c r="S48" s="616">
        <f t="shared" si="8"/>
        <v>965.98291996862201</v>
      </c>
    </row>
    <row r="49" spans="2:19" s="406" customFormat="1" ht="14.1" hidden="1" customHeight="1" outlineLevel="2" x14ac:dyDescent="0.15">
      <c r="B49" s="467" t="s">
        <v>237</v>
      </c>
      <c r="C49" s="468" t="s">
        <v>140</v>
      </c>
      <c r="D49" s="506">
        <f t="shared" si="14"/>
        <v>5.5094272421699397E-2</v>
      </c>
      <c r="E49" s="470">
        <v>4950</v>
      </c>
      <c r="F49" s="509">
        <f t="shared" si="0"/>
        <v>646.95108291769395</v>
      </c>
      <c r="G49" s="472">
        <v>570</v>
      </c>
      <c r="H49" s="510">
        <f t="shared" si="2"/>
        <v>74.497397426885996</v>
      </c>
      <c r="I49" s="577">
        <f t="shared" ref="I49:I56" si="15">J49/$J$32</f>
        <v>0.12718762368570499</v>
      </c>
      <c r="J49" s="561">
        <f>J48</f>
        <v>7391</v>
      </c>
      <c r="K49" s="562">
        <f t="shared" si="5"/>
        <v>965.98291996862201</v>
      </c>
      <c r="L49" s="571"/>
      <c r="M49" s="1398">
        <v>84.444447999999994</v>
      </c>
      <c r="N49" s="1398"/>
      <c r="O49" s="1399">
        <f t="shared" si="6"/>
        <v>11.0366519353509</v>
      </c>
      <c r="P49" s="1405"/>
      <c r="Q49" s="631">
        <f t="shared" ref="Q49:Q56" si="16">R49/$R$32</f>
        <v>0.12718762368570499</v>
      </c>
      <c r="R49" s="615">
        <f t="shared" si="9"/>
        <v>7391</v>
      </c>
      <c r="S49" s="616">
        <f t="shared" si="8"/>
        <v>965.98291996862201</v>
      </c>
    </row>
    <row r="50" spans="2:19" s="406" customFormat="1" ht="14.1" hidden="1" customHeight="1" outlineLevel="2" x14ac:dyDescent="0.15">
      <c r="B50" s="467" t="s">
        <v>238</v>
      </c>
      <c r="C50" s="468" t="s">
        <v>141</v>
      </c>
      <c r="D50" s="506">
        <f t="shared" si="14"/>
        <v>0</v>
      </c>
      <c r="E50" s="470"/>
      <c r="F50" s="509">
        <f t="shared" si="0"/>
        <v>0</v>
      </c>
      <c r="G50" s="472">
        <v>0.57674900000006302</v>
      </c>
      <c r="H50" s="510">
        <f t="shared" si="2"/>
        <v>7.5379472751866294E-2</v>
      </c>
      <c r="I50" s="577">
        <f t="shared" si="15"/>
        <v>0</v>
      </c>
      <c r="J50" s="561"/>
      <c r="K50" s="562">
        <f t="shared" si="5"/>
        <v>0</v>
      </c>
      <c r="L50" s="571"/>
      <c r="M50" s="1398">
        <v>74.895937000000103</v>
      </c>
      <c r="N50" s="1398"/>
      <c r="O50" s="1399">
        <f t="shared" si="6"/>
        <v>9.7886883935930307</v>
      </c>
      <c r="P50" s="1405"/>
      <c r="Q50" s="631">
        <f t="shared" si="16"/>
        <v>0</v>
      </c>
      <c r="R50" s="632">
        <f t="shared" si="9"/>
        <v>0</v>
      </c>
      <c r="S50" s="616">
        <f t="shared" si="8"/>
        <v>0</v>
      </c>
    </row>
    <row r="51" spans="2:19" s="406" customFormat="1" ht="14.1" hidden="1" customHeight="1" outlineLevel="2" x14ac:dyDescent="0.15">
      <c r="B51" s="467" t="s">
        <v>239</v>
      </c>
      <c r="C51" s="468" t="s">
        <v>142</v>
      </c>
      <c r="D51" s="506">
        <f t="shared" si="14"/>
        <v>1.28330699196403E-2</v>
      </c>
      <c r="E51" s="470">
        <v>1153</v>
      </c>
      <c r="F51" s="509">
        <f t="shared" si="0"/>
        <v>150.693858303859</v>
      </c>
      <c r="G51" s="472"/>
      <c r="H51" s="511">
        <f t="shared" si="2"/>
        <v>0</v>
      </c>
      <c r="I51" s="577">
        <f t="shared" si="15"/>
        <v>0</v>
      </c>
      <c r="J51" s="561"/>
      <c r="K51" s="562">
        <f t="shared" si="5"/>
        <v>0</v>
      </c>
      <c r="L51" s="571"/>
      <c r="M51" s="1398"/>
      <c r="N51" s="1398"/>
      <c r="O51" s="1399">
        <f t="shared" si="6"/>
        <v>0</v>
      </c>
      <c r="P51" s="1405"/>
      <c r="Q51" s="631">
        <f t="shared" si="16"/>
        <v>0</v>
      </c>
      <c r="R51" s="615">
        <f t="shared" si="9"/>
        <v>0</v>
      </c>
      <c r="S51" s="616">
        <f t="shared" si="8"/>
        <v>0</v>
      </c>
    </row>
    <row r="52" spans="2:19" s="406" customFormat="1" ht="14.1" customHeight="1" outlineLevel="1" collapsed="1" x14ac:dyDescent="0.15">
      <c r="B52" s="488">
        <v>2.5</v>
      </c>
      <c r="C52" s="512" t="s">
        <v>99</v>
      </c>
      <c r="D52" s="482">
        <f t="shared" si="14"/>
        <v>8.0048082274113502E-2</v>
      </c>
      <c r="E52" s="483">
        <f>E53+E54+E55</f>
        <v>7192</v>
      </c>
      <c r="F52" s="513">
        <f t="shared" si="0"/>
        <v>939.97417946344603</v>
      </c>
      <c r="G52" s="486">
        <f>G53</f>
        <v>14.162689</v>
      </c>
      <c r="H52" s="514">
        <f t="shared" si="2"/>
        <v>1.8510236334498</v>
      </c>
      <c r="I52" s="581">
        <f t="shared" si="15"/>
        <v>8.1137278998952497E-3</v>
      </c>
      <c r="J52" s="572">
        <f>SUM(J53:J55)</f>
        <v>471.49684199081298</v>
      </c>
      <c r="K52" s="573">
        <f t="shared" si="5"/>
        <v>61.623311619844301</v>
      </c>
      <c r="L52" s="571"/>
      <c r="M52" s="1398">
        <f>M53</f>
        <v>22.653831</v>
      </c>
      <c r="N52" s="1398"/>
      <c r="O52" s="1399">
        <f t="shared" si="6"/>
        <v>2.9607920197342299</v>
      </c>
      <c r="P52" s="1405"/>
      <c r="Q52" s="631">
        <f t="shared" si="16"/>
        <v>8.1137278998952497E-3</v>
      </c>
      <c r="R52" s="615">
        <f t="shared" si="9"/>
        <v>471.49684199081298</v>
      </c>
      <c r="S52" s="616">
        <f t="shared" si="8"/>
        <v>61.623311619844301</v>
      </c>
    </row>
    <row r="53" spans="2:19" s="406" customFormat="1" ht="14.1" hidden="1" customHeight="1" outlineLevel="2" x14ac:dyDescent="0.2">
      <c r="B53" s="467" t="s">
        <v>240</v>
      </c>
      <c r="C53" s="468" t="s">
        <v>143</v>
      </c>
      <c r="D53" s="506">
        <f t="shared" si="14"/>
        <v>2.7357923558088301E-2</v>
      </c>
      <c r="E53" s="470">
        <v>2458</v>
      </c>
      <c r="F53" s="509">
        <f t="shared" si="0"/>
        <v>321.25368925488698</v>
      </c>
      <c r="G53" s="472">
        <v>14.162689</v>
      </c>
      <c r="H53" s="510">
        <f t="shared" si="2"/>
        <v>1.8510236334498</v>
      </c>
      <c r="I53" s="560">
        <f t="shared" si="15"/>
        <v>8.1137278998952497E-3</v>
      </c>
      <c r="J53" s="561">
        <v>471.49684199081298</v>
      </c>
      <c r="K53" s="562">
        <f t="shared" si="5"/>
        <v>61.623311619844301</v>
      </c>
      <c r="L53" s="571"/>
      <c r="M53" s="1398">
        <v>22.653831</v>
      </c>
      <c r="N53" s="1398"/>
      <c r="O53" s="1399">
        <f t="shared" si="6"/>
        <v>2.9607920197342299</v>
      </c>
      <c r="P53" s="1405"/>
      <c r="Q53" s="631">
        <f t="shared" si="16"/>
        <v>8.1137278998952497E-3</v>
      </c>
      <c r="R53" s="615">
        <f t="shared" si="9"/>
        <v>471.49684199081298</v>
      </c>
      <c r="S53" s="616">
        <f t="shared" si="8"/>
        <v>61.623311619844301</v>
      </c>
    </row>
    <row r="54" spans="2:19" s="406" customFormat="1" ht="14.1" hidden="1" customHeight="1" outlineLevel="2" x14ac:dyDescent="0.2">
      <c r="B54" s="467" t="s">
        <v>241</v>
      </c>
      <c r="C54" s="468" t="s">
        <v>144</v>
      </c>
      <c r="D54" s="506">
        <f t="shared" si="14"/>
        <v>2.95060436747323E-2</v>
      </c>
      <c r="E54" s="470">
        <v>2651</v>
      </c>
      <c r="F54" s="509">
        <f t="shared" si="0"/>
        <v>346.47824662925399</v>
      </c>
      <c r="G54" s="472"/>
      <c r="H54" s="510">
        <f t="shared" si="2"/>
        <v>0</v>
      </c>
      <c r="I54" s="560">
        <f t="shared" si="15"/>
        <v>0</v>
      </c>
      <c r="J54" s="561">
        <v>0</v>
      </c>
      <c r="K54" s="562">
        <f t="shared" si="5"/>
        <v>0</v>
      </c>
      <c r="L54" s="571"/>
      <c r="M54" s="1398"/>
      <c r="N54" s="1398"/>
      <c r="O54" s="1399">
        <f t="shared" si="6"/>
        <v>0</v>
      </c>
      <c r="P54" s="1405"/>
      <c r="Q54" s="631">
        <f t="shared" si="16"/>
        <v>0</v>
      </c>
      <c r="R54" s="615">
        <f t="shared" si="9"/>
        <v>0</v>
      </c>
      <c r="S54" s="616">
        <f t="shared" si="8"/>
        <v>0</v>
      </c>
    </row>
    <row r="55" spans="2:19" s="406" customFormat="1" ht="14.1" hidden="1" customHeight="1" outlineLevel="2" x14ac:dyDescent="0.2">
      <c r="B55" s="467" t="s">
        <v>242</v>
      </c>
      <c r="C55" s="468" t="s">
        <v>145</v>
      </c>
      <c r="D55" s="506">
        <f t="shared" si="14"/>
        <v>2.3184115041292901E-2</v>
      </c>
      <c r="E55" s="470">
        <v>2083</v>
      </c>
      <c r="F55" s="509">
        <f t="shared" si="0"/>
        <v>272.24224357930501</v>
      </c>
      <c r="G55" s="472"/>
      <c r="H55" s="510">
        <f t="shared" si="2"/>
        <v>0</v>
      </c>
      <c r="I55" s="560">
        <f t="shared" si="15"/>
        <v>0</v>
      </c>
      <c r="J55" s="561">
        <v>0</v>
      </c>
      <c r="K55" s="562">
        <f t="shared" si="5"/>
        <v>0</v>
      </c>
      <c r="L55" s="571"/>
      <c r="M55" s="1398"/>
      <c r="N55" s="1398"/>
      <c r="O55" s="1399">
        <f t="shared" si="6"/>
        <v>0</v>
      </c>
      <c r="P55" s="1405"/>
      <c r="Q55" s="631">
        <f t="shared" si="16"/>
        <v>0</v>
      </c>
      <c r="R55" s="632">
        <f t="shared" si="9"/>
        <v>0</v>
      </c>
      <c r="S55" s="616">
        <f t="shared" si="8"/>
        <v>0</v>
      </c>
    </row>
    <row r="56" spans="2:19" s="406" customFormat="1" ht="14.1" customHeight="1" outlineLevel="1" collapsed="1" x14ac:dyDescent="0.2">
      <c r="B56" s="467">
        <v>2.6</v>
      </c>
      <c r="C56" s="468" t="s">
        <v>101</v>
      </c>
      <c r="D56" s="506">
        <f t="shared" si="14"/>
        <v>0</v>
      </c>
      <c r="E56" s="470"/>
      <c r="F56" s="509"/>
      <c r="G56" s="472">
        <v>-1.6560140000000001</v>
      </c>
      <c r="H56" s="510">
        <f t="shared" si="2"/>
        <v>-0.21643637386401299</v>
      </c>
      <c r="I56" s="560">
        <f t="shared" si="15"/>
        <v>0</v>
      </c>
      <c r="J56" s="561"/>
      <c r="K56" s="562"/>
      <c r="L56" s="571"/>
      <c r="M56" s="1398">
        <v>-2.1332</v>
      </c>
      <c r="N56" s="1398"/>
      <c r="O56" s="1399">
        <f t="shared" si="6"/>
        <v>-0.27880324244040899</v>
      </c>
      <c r="P56" s="1405"/>
      <c r="Q56" s="631">
        <f t="shared" si="16"/>
        <v>0</v>
      </c>
      <c r="R56" s="632">
        <f t="shared" si="9"/>
        <v>0</v>
      </c>
      <c r="S56" s="616">
        <f t="shared" si="8"/>
        <v>0</v>
      </c>
    </row>
    <row r="57" spans="2:19" s="406" customFormat="1" ht="14.1" customHeight="1" x14ac:dyDescent="0.15">
      <c r="B57" s="515" t="s">
        <v>83</v>
      </c>
      <c r="C57" s="516" t="s">
        <v>103</v>
      </c>
      <c r="D57" s="517"/>
      <c r="E57" s="518">
        <v>6249</v>
      </c>
      <c r="F57" s="519">
        <f>E57/F$29*10000</f>
        <v>816.72673073791395</v>
      </c>
      <c r="G57" s="520">
        <f>G32-G37</f>
        <v>-43443.368875</v>
      </c>
      <c r="H57" s="521">
        <f t="shared" si="2"/>
        <v>-5677.9261695503301</v>
      </c>
      <c r="I57" s="517"/>
      <c r="J57" s="582">
        <f>J32-J37</f>
        <v>-8269.3373619908198</v>
      </c>
      <c r="K57" s="519">
        <f>K32-K37</f>
        <v>-1080.77914370742</v>
      </c>
      <c r="L57" s="583"/>
      <c r="M57" s="1406">
        <f>M32-M37</f>
        <v>-45172.190006999997</v>
      </c>
      <c r="N57" s="1406"/>
      <c r="O57" s="1406">
        <f>O32-O37</f>
        <v>-5903.8782308671698</v>
      </c>
      <c r="P57" s="1407"/>
      <c r="Q57" s="583"/>
      <c r="R57" s="633">
        <f>R32-R37</f>
        <v>-8269.3373619908198</v>
      </c>
      <c r="S57" s="519">
        <f>S32-S37</f>
        <v>-1080.77914370742</v>
      </c>
    </row>
    <row r="58" spans="2:19" s="406" customFormat="1" ht="14.1" customHeight="1" x14ac:dyDescent="0.15">
      <c r="B58" s="515"/>
      <c r="C58" s="516" t="s">
        <v>104</v>
      </c>
      <c r="D58" s="517"/>
      <c r="E58" s="522">
        <f>IFERROR(E57/E32,"")</f>
        <v>6.9552345123878603E-2</v>
      </c>
      <c r="F58" s="523">
        <f>IFERROR(F57/F32,"")</f>
        <v>6.9552345123878603E-2</v>
      </c>
      <c r="G58" s="520"/>
      <c r="H58" s="524" t="str">
        <f>IFERROR(H57/H32,"")</f>
        <v/>
      </c>
      <c r="I58" s="517" t="str">
        <f>IFERROR(I57/I32,"")</f>
        <v/>
      </c>
      <c r="J58" s="584">
        <f>IFERROR(J57/J32,"")</f>
        <v>-0.14230244466608399</v>
      </c>
      <c r="K58" s="585">
        <f>IFERROR(K57/K32,"")</f>
        <v>-0.14230244466608399</v>
      </c>
      <c r="L58" s="586"/>
      <c r="M58" s="1406"/>
      <c r="N58" s="1406"/>
      <c r="O58" s="1406"/>
      <c r="P58" s="1407"/>
      <c r="Q58" s="583"/>
      <c r="R58" s="634">
        <f>IFERROR(R57/R32,"")</f>
        <v>-0.14230244466608399</v>
      </c>
      <c r="S58" s="585">
        <f>IFERROR(S57/S32,"")</f>
        <v>-0.14230244466608399</v>
      </c>
    </row>
    <row r="59" spans="2:19" s="406" customFormat="1" ht="14.1" customHeight="1" x14ac:dyDescent="0.15">
      <c r="B59" s="525" t="s">
        <v>105</v>
      </c>
      <c r="C59" s="526" t="s">
        <v>106</v>
      </c>
      <c r="D59" s="527"/>
      <c r="E59" s="528">
        <f>E60+E63+E66</f>
        <v>0</v>
      </c>
      <c r="F59" s="529">
        <f>F60+F63+F66</f>
        <v>0</v>
      </c>
      <c r="G59" s="530">
        <f>G60+G63+G66</f>
        <v>42386.085056999997</v>
      </c>
      <c r="H59" s="529">
        <f>H60+H63+H66</f>
        <v>0</v>
      </c>
      <c r="I59" s="587"/>
      <c r="J59" s="588">
        <f t="shared" ref="J59:K59" si="17">J60+J63+J66</f>
        <v>8269.3373619908198</v>
      </c>
      <c r="K59" s="529">
        <f t="shared" si="17"/>
        <v>0</v>
      </c>
      <c r="L59" s="589"/>
      <c r="M59" s="1406">
        <f t="shared" ref="M59" si="18">M60+M63+M66</f>
        <v>45347.100344999999</v>
      </c>
      <c r="N59" s="1406"/>
      <c r="O59" s="1406">
        <f>O60+O63+O66</f>
        <v>0</v>
      </c>
      <c r="P59" s="1407"/>
      <c r="Q59" s="583"/>
      <c r="R59" s="635">
        <f>R60+R63+R66</f>
        <v>8269.3373619908198</v>
      </c>
      <c r="S59" s="529">
        <f t="shared" ref="S59" si="19">S60+S63+S66</f>
        <v>0</v>
      </c>
    </row>
    <row r="60" spans="2:19" s="406" customFormat="1" ht="13.9" customHeight="1" outlineLevel="1" x14ac:dyDescent="0.15">
      <c r="B60" s="467">
        <v>4.0999999999999996</v>
      </c>
      <c r="C60" s="468" t="s">
        <v>107</v>
      </c>
      <c r="D60" s="531"/>
      <c r="E60" s="532"/>
      <c r="F60" s="533">
        <f>E60/F$29*10000</f>
        <v>0</v>
      </c>
      <c r="G60" s="505">
        <f>G61</f>
        <v>1986.085057</v>
      </c>
      <c r="H60" s="514"/>
      <c r="I60" s="577"/>
      <c r="J60" s="590"/>
      <c r="K60" s="591"/>
      <c r="L60" s="592"/>
      <c r="M60" s="1399">
        <f>M61</f>
        <v>6748.8429649999998</v>
      </c>
      <c r="N60" s="1408"/>
      <c r="O60" s="1399"/>
      <c r="P60" s="1405"/>
      <c r="Q60" s="636"/>
      <c r="R60" s="628"/>
      <c r="S60" s="629"/>
    </row>
    <row r="61" spans="2:19" s="406" customFormat="1" ht="13.9" hidden="1" customHeight="1" outlineLevel="2" x14ac:dyDescent="0.15">
      <c r="B61" s="467"/>
      <c r="C61" s="468" t="s">
        <v>171</v>
      </c>
      <c r="D61" s="534"/>
      <c r="E61" s="535"/>
      <c r="F61" s="536"/>
      <c r="G61" s="508">
        <v>1986.085057</v>
      </c>
      <c r="H61" s="510"/>
      <c r="I61" s="577"/>
      <c r="J61" s="590"/>
      <c r="K61" s="591"/>
      <c r="L61" s="592"/>
      <c r="M61" s="1399">
        <v>6748.8429649999998</v>
      </c>
      <c r="N61" s="1408"/>
      <c r="O61" s="1399"/>
      <c r="P61" s="1405"/>
      <c r="Q61" s="636"/>
      <c r="R61" s="637"/>
      <c r="S61" s="638"/>
    </row>
    <row r="62" spans="2:19" s="406" customFormat="1" ht="14.1" hidden="1" customHeight="1" outlineLevel="2" x14ac:dyDescent="0.15">
      <c r="B62" s="467"/>
      <c r="C62" s="468" t="s">
        <v>172</v>
      </c>
      <c r="D62" s="534"/>
      <c r="E62" s="535"/>
      <c r="F62" s="536"/>
      <c r="G62" s="508">
        <v>0</v>
      </c>
      <c r="H62" s="510"/>
      <c r="I62" s="577"/>
      <c r="J62" s="590"/>
      <c r="K62" s="591"/>
      <c r="L62" s="592"/>
      <c r="M62" s="1399">
        <f>海景嘉福!Q73</f>
        <v>14.162689000000002</v>
      </c>
      <c r="N62" s="1408"/>
      <c r="O62" s="1399"/>
      <c r="P62" s="1405"/>
      <c r="Q62" s="636"/>
      <c r="R62" s="637"/>
      <c r="S62" s="638"/>
    </row>
    <row r="63" spans="2:19" s="406" customFormat="1" ht="14.1" customHeight="1" outlineLevel="1" collapsed="1" x14ac:dyDescent="0.15">
      <c r="B63" s="467">
        <v>4.2</v>
      </c>
      <c r="C63" s="468" t="s">
        <v>108</v>
      </c>
      <c r="D63" s="531"/>
      <c r="E63" s="532"/>
      <c r="F63" s="533">
        <f>E63/F$29*10000</f>
        <v>0</v>
      </c>
      <c r="G63" s="505">
        <f>G64</f>
        <v>6000</v>
      </c>
      <c r="H63" s="514"/>
      <c r="I63" s="577"/>
      <c r="J63" s="593">
        <f>J64</f>
        <v>8269.3373619908198</v>
      </c>
      <c r="K63" s="591"/>
      <c r="L63" s="592"/>
      <c r="M63" s="1399">
        <v>5998.25738</v>
      </c>
      <c r="N63" s="1408"/>
      <c r="O63" s="1399"/>
      <c r="P63" s="1405"/>
      <c r="Q63" s="636"/>
      <c r="R63" s="593">
        <f>R64</f>
        <v>8269.3373619908198</v>
      </c>
      <c r="S63" s="629"/>
    </row>
    <row r="64" spans="2:19" s="406" customFormat="1" ht="14.1" hidden="1" customHeight="1" outlineLevel="2" x14ac:dyDescent="0.15">
      <c r="B64" s="467"/>
      <c r="C64" s="468" t="s">
        <v>173</v>
      </c>
      <c r="D64" s="534"/>
      <c r="E64" s="535"/>
      <c r="F64" s="536"/>
      <c r="G64" s="505">
        <v>6000</v>
      </c>
      <c r="H64" s="514"/>
      <c r="I64" s="577"/>
      <c r="J64" s="561">
        <f>-J57</f>
        <v>8269.3373619908198</v>
      </c>
      <c r="K64" s="591"/>
      <c r="L64" s="592"/>
      <c r="M64" s="1399">
        <v>6000</v>
      </c>
      <c r="N64" s="1408"/>
      <c r="O64" s="1399"/>
      <c r="P64" s="1405"/>
      <c r="Q64" s="636"/>
      <c r="R64" s="561">
        <f>-R57</f>
        <v>8269.3373619908198</v>
      </c>
      <c r="S64" s="638"/>
    </row>
    <row r="65" spans="2:19" s="406" customFormat="1" ht="14.1" hidden="1" customHeight="1" outlineLevel="2" x14ac:dyDescent="0.15">
      <c r="B65" s="467"/>
      <c r="C65" s="468" t="s">
        <v>174</v>
      </c>
      <c r="D65" s="534"/>
      <c r="E65" s="535"/>
      <c r="F65" s="536"/>
      <c r="G65" s="505">
        <v>0</v>
      </c>
      <c r="H65" s="514"/>
      <c r="I65" s="577"/>
      <c r="J65" s="590"/>
      <c r="K65" s="591"/>
      <c r="L65" s="592"/>
      <c r="M65" s="1399">
        <v>-1.7426199999999901</v>
      </c>
      <c r="N65" s="1408"/>
      <c r="O65" s="1399"/>
      <c r="P65" s="1405"/>
      <c r="Q65" s="636"/>
      <c r="R65" s="637"/>
      <c r="S65" s="638"/>
    </row>
    <row r="66" spans="2:19" s="406" customFormat="1" ht="14.1" customHeight="1" outlineLevel="1" collapsed="1" x14ac:dyDescent="0.15">
      <c r="B66" s="467">
        <v>4.3</v>
      </c>
      <c r="C66" s="468" t="s">
        <v>109</v>
      </c>
      <c r="D66" s="531"/>
      <c r="E66" s="532"/>
      <c r="F66" s="533">
        <f>E66/F$29*10000</f>
        <v>0</v>
      </c>
      <c r="G66" s="505">
        <f>(-(G67-G68))*-1</f>
        <v>34400</v>
      </c>
      <c r="H66" s="514"/>
      <c r="I66" s="577"/>
      <c r="J66" s="590"/>
      <c r="K66" s="591"/>
      <c r="L66" s="592"/>
      <c r="M66" s="1399">
        <f>(M67-M68)</f>
        <v>32600</v>
      </c>
      <c r="N66" s="1408"/>
      <c r="O66" s="1399"/>
      <c r="P66" s="1405"/>
      <c r="Q66" s="636"/>
      <c r="R66" s="637"/>
      <c r="S66" s="629"/>
    </row>
    <row r="67" spans="2:19" s="406" customFormat="1" ht="14.1" customHeight="1" outlineLevel="2" x14ac:dyDescent="0.15">
      <c r="B67" s="467"/>
      <c r="C67" s="468" t="s">
        <v>110</v>
      </c>
      <c r="D67" s="534"/>
      <c r="E67" s="535"/>
      <c r="F67" s="536">
        <f>E67/F$29*10000</f>
        <v>0</v>
      </c>
      <c r="G67" s="505">
        <v>35000</v>
      </c>
      <c r="H67" s="514"/>
      <c r="I67" s="577"/>
      <c r="J67" s="590"/>
      <c r="K67" s="591"/>
      <c r="L67" s="592"/>
      <c r="M67" s="1399">
        <f>G67</f>
        <v>35000</v>
      </c>
      <c r="N67" s="1408"/>
      <c r="O67" s="1399"/>
      <c r="P67" s="1405"/>
      <c r="Q67" s="636"/>
      <c r="R67" s="637"/>
      <c r="S67" s="638"/>
    </row>
    <row r="68" spans="2:19" s="406" customFormat="1" ht="14.1" customHeight="1" outlineLevel="2" x14ac:dyDescent="0.15">
      <c r="B68" s="467"/>
      <c r="C68" s="468" t="s">
        <v>111</v>
      </c>
      <c r="D68" s="534"/>
      <c r="E68" s="535"/>
      <c r="F68" s="536">
        <f>E68/F$29*10000</f>
        <v>0</v>
      </c>
      <c r="G68" s="505">
        <v>600</v>
      </c>
      <c r="H68" s="514"/>
      <c r="I68" s="577"/>
      <c r="J68" s="590"/>
      <c r="K68" s="591"/>
      <c r="L68" s="592"/>
      <c r="M68" s="1399">
        <v>2400</v>
      </c>
      <c r="N68" s="1408"/>
      <c r="O68" s="1399"/>
      <c r="P68" s="1405"/>
      <c r="Q68" s="636"/>
      <c r="R68" s="637"/>
      <c r="S68" s="638"/>
    </row>
    <row r="69" spans="2:19" s="410" customFormat="1" ht="14.1" customHeight="1" x14ac:dyDescent="0.15">
      <c r="B69" s="515" t="s">
        <v>112</v>
      </c>
      <c r="C69" s="516" t="s">
        <v>113</v>
      </c>
      <c r="D69" s="517"/>
      <c r="E69" s="518">
        <f>E57+E59</f>
        <v>6249</v>
      </c>
      <c r="F69" s="519">
        <f t="shared" ref="F69:H69" si="20">F57+F59</f>
        <v>816.72673073791395</v>
      </c>
      <c r="G69" s="520">
        <f t="shared" si="20"/>
        <v>-1057.2838180000001</v>
      </c>
      <c r="H69" s="639">
        <f t="shared" si="20"/>
        <v>-5677.9261695503301</v>
      </c>
      <c r="I69" s="517"/>
      <c r="J69" s="689">
        <f>J57+J59</f>
        <v>0</v>
      </c>
      <c r="K69" s="519">
        <f t="shared" ref="K69:M69" si="21">K57+K59</f>
        <v>-1080.77914370742</v>
      </c>
      <c r="L69" s="583"/>
      <c r="M69" s="1406">
        <f t="shared" si="21"/>
        <v>174.91033799998701</v>
      </c>
      <c r="N69" s="1406"/>
      <c r="O69" s="1406">
        <f t="shared" ref="O69:S69" si="22">O57+O59</f>
        <v>-5903.8782308671698</v>
      </c>
      <c r="P69" s="1407"/>
      <c r="Q69" s="583"/>
      <c r="R69" s="757">
        <f t="shared" si="22"/>
        <v>0</v>
      </c>
      <c r="S69" s="519">
        <f t="shared" si="22"/>
        <v>-1080.77914370742</v>
      </c>
    </row>
    <row r="70" spans="2:19" s="406" customFormat="1" ht="14.1" customHeight="1" x14ac:dyDescent="0.15">
      <c r="B70" s="515"/>
      <c r="C70" s="516" t="s">
        <v>114</v>
      </c>
      <c r="D70" s="517"/>
      <c r="E70" s="522">
        <f>IFERROR(E69/$E$32,"")</f>
        <v>6.9552345123878603E-2</v>
      </c>
      <c r="F70" s="523">
        <f>IFERROR(F69/$E$32,"")</f>
        <v>9.0902959590623209E-3</v>
      </c>
      <c r="G70" s="640">
        <f>IFERROR(G69/$E$32,"")</f>
        <v>-1.17677338779689E-2</v>
      </c>
      <c r="H70" s="524">
        <f>IFERROR(H69/$E$32,"")</f>
        <v>-6.3196204277879101E-2</v>
      </c>
      <c r="I70" s="517"/>
      <c r="J70" s="584">
        <f>IFERROR(J69/$E$32,"")</f>
        <v>0</v>
      </c>
      <c r="K70" s="523">
        <f>IFERROR(K69/$E$32,"")</f>
        <v>-1.2029240519415599E-2</v>
      </c>
      <c r="L70" s="690"/>
      <c r="M70" s="1406">
        <f>IFERROR(M69/$E$32,"")</f>
        <v>1.9467793557864199E-3</v>
      </c>
      <c r="N70" s="1406"/>
      <c r="O70" s="1406">
        <f>IFERROR(O69/$E$32,"")</f>
        <v>-6.5711085978977096E-2</v>
      </c>
      <c r="P70" s="1407"/>
      <c r="Q70" s="583"/>
      <c r="R70" s="758">
        <f>IFERROR(R69/$E$32,"")</f>
        <v>0</v>
      </c>
      <c r="S70" s="523">
        <f>IFERROR(S69/$E$32,"")</f>
        <v>-1.2029240519415599E-2</v>
      </c>
    </row>
    <row r="71" spans="2:19" s="411" customFormat="1" ht="14.1" customHeight="1" x14ac:dyDescent="0.15">
      <c r="B71" s="525" t="s">
        <v>115</v>
      </c>
      <c r="C71" s="526" t="s">
        <v>116</v>
      </c>
      <c r="D71" s="527"/>
      <c r="E71" s="641">
        <f t="shared" ref="E71:M71" si="23">E69</f>
        <v>6249</v>
      </c>
      <c r="F71" s="519">
        <f t="shared" si="23"/>
        <v>816.72673073791395</v>
      </c>
      <c r="G71" s="530">
        <f t="shared" si="23"/>
        <v>-1057.2838180000001</v>
      </c>
      <c r="H71" s="642">
        <f t="shared" si="23"/>
        <v>-5677.9261695503301</v>
      </c>
      <c r="I71" s="691">
        <f t="shared" si="23"/>
        <v>0</v>
      </c>
      <c r="J71" s="641">
        <f t="shared" si="23"/>
        <v>0</v>
      </c>
      <c r="K71" s="529">
        <f t="shared" si="23"/>
        <v>-1080.77914370742</v>
      </c>
      <c r="L71" s="589">
        <f t="shared" si="23"/>
        <v>0</v>
      </c>
      <c r="M71" s="1406">
        <f t="shared" si="23"/>
        <v>174.91033799998701</v>
      </c>
      <c r="N71" s="1406"/>
      <c r="O71" s="1406">
        <f t="shared" ref="O71:S71" si="24">O69</f>
        <v>-5903.8782308671698</v>
      </c>
      <c r="P71" s="1407"/>
      <c r="Q71" s="589">
        <f t="shared" si="24"/>
        <v>0</v>
      </c>
      <c r="R71" s="759">
        <f t="shared" si="24"/>
        <v>0</v>
      </c>
      <c r="S71" s="519">
        <f t="shared" si="24"/>
        <v>-1080.77914370742</v>
      </c>
    </row>
    <row r="72" spans="2:19" s="411" customFormat="1" ht="14.1" customHeight="1" x14ac:dyDescent="0.15">
      <c r="B72" s="525" t="s">
        <v>117</v>
      </c>
      <c r="C72" s="526" t="s">
        <v>118</v>
      </c>
      <c r="D72" s="643"/>
      <c r="E72" s="641">
        <f>E73+E75</f>
        <v>0</v>
      </c>
      <c r="F72" s="644">
        <f>F73+F75</f>
        <v>0</v>
      </c>
      <c r="G72" s="530">
        <f>G73-G75-G74-G76</f>
        <v>-1703.3038839999999</v>
      </c>
      <c r="H72" s="645">
        <f>H73+H75</f>
        <v>0</v>
      </c>
      <c r="I72" s="692"/>
      <c r="J72" s="641">
        <f t="shared" ref="J72:K72" si="25">J73+J75</f>
        <v>0</v>
      </c>
      <c r="K72" s="693">
        <f t="shared" si="25"/>
        <v>0</v>
      </c>
      <c r="L72" s="694"/>
      <c r="M72" s="1406">
        <f t="shared" ref="M72:N72" si="26">M73-M75-M74-M76</f>
        <v>-382.123297000001</v>
      </c>
      <c r="N72" s="1406">
        <f t="shared" si="26"/>
        <v>0</v>
      </c>
      <c r="O72" s="1406">
        <f t="shared" ref="O72:S72" si="27">O73+O75</f>
        <v>0</v>
      </c>
      <c r="P72" s="1407"/>
      <c r="Q72" s="760"/>
      <c r="R72" s="759">
        <f t="shared" si="27"/>
        <v>0</v>
      </c>
      <c r="S72" s="644">
        <f t="shared" si="27"/>
        <v>0</v>
      </c>
    </row>
    <row r="73" spans="2:19" s="406" customFormat="1" ht="14.1" hidden="1" customHeight="1" outlineLevel="1" x14ac:dyDescent="0.15">
      <c r="B73" s="460">
        <v>7.1</v>
      </c>
      <c r="C73" s="461" t="s">
        <v>243</v>
      </c>
      <c r="D73" s="646"/>
      <c r="E73" s="463"/>
      <c r="F73" s="647"/>
      <c r="G73" s="648">
        <f>G115+G116</f>
        <v>315.25170000000003</v>
      </c>
      <c r="H73" s="649"/>
      <c r="I73" s="695"/>
      <c r="J73" s="463"/>
      <c r="K73" s="696"/>
      <c r="L73" s="697"/>
      <c r="M73" s="1409">
        <f>M115+M116</f>
        <v>314.0693</v>
      </c>
      <c r="N73" s="1409">
        <f>N115+N116</f>
        <v>0</v>
      </c>
      <c r="O73" s="1409"/>
      <c r="P73" s="1410"/>
      <c r="Q73" s="559"/>
      <c r="R73" s="761"/>
      <c r="S73" s="647"/>
    </row>
    <row r="74" spans="2:19" s="406" customFormat="1" ht="14.1" hidden="1" customHeight="1" outlineLevel="1" x14ac:dyDescent="0.15">
      <c r="B74" s="460">
        <v>7.2</v>
      </c>
      <c r="C74" s="461" t="s">
        <v>244</v>
      </c>
      <c r="D74" s="646"/>
      <c r="E74" s="463"/>
      <c r="F74" s="647"/>
      <c r="G74" s="648">
        <f>-G121</f>
        <v>3.46</v>
      </c>
      <c r="H74" s="649"/>
      <c r="I74" s="695"/>
      <c r="J74" s="463"/>
      <c r="K74" s="696"/>
      <c r="L74" s="697"/>
      <c r="M74" s="1411">
        <f t="shared" ref="M74:N74" si="28">-M121</f>
        <v>10.58</v>
      </c>
      <c r="N74" s="1412">
        <f t="shared" si="28"/>
        <v>0</v>
      </c>
      <c r="O74" s="1409"/>
      <c r="P74" s="1410"/>
      <c r="Q74" s="559"/>
      <c r="R74" s="761"/>
      <c r="S74" s="647"/>
    </row>
    <row r="75" spans="2:19" s="406" customFormat="1" ht="14.1" hidden="1" customHeight="1" outlineLevel="1" x14ac:dyDescent="0.15">
      <c r="B75" s="460">
        <v>7.3</v>
      </c>
      <c r="C75" s="461" t="s">
        <v>245</v>
      </c>
      <c r="D75" s="646"/>
      <c r="E75" s="463"/>
      <c r="F75" s="647"/>
      <c r="G75" s="648">
        <f>-(G117+G118+G119+G120)</f>
        <v>2040.002432</v>
      </c>
      <c r="H75" s="649"/>
      <c r="I75" s="695"/>
      <c r="J75" s="463"/>
      <c r="K75" s="696"/>
      <c r="L75" s="697"/>
      <c r="M75" s="1411">
        <f t="shared" ref="M75:N75" si="29">-(M117+M118+M119+M120)</f>
        <v>721.436923000001</v>
      </c>
      <c r="N75" s="1412">
        <f t="shared" si="29"/>
        <v>0</v>
      </c>
      <c r="O75" s="1409"/>
      <c r="P75" s="1410"/>
      <c r="Q75" s="559"/>
      <c r="R75" s="761"/>
      <c r="S75" s="647"/>
    </row>
    <row r="76" spans="2:19" s="406" customFormat="1" ht="14.1" hidden="1" customHeight="1" outlineLevel="1" x14ac:dyDescent="0.15">
      <c r="B76" s="460">
        <v>7.5</v>
      </c>
      <c r="C76" s="461" t="s">
        <v>246</v>
      </c>
      <c r="D76" s="646"/>
      <c r="E76" s="463"/>
      <c r="F76" s="647"/>
      <c r="G76" s="648">
        <f>G134</f>
        <v>-24.906848</v>
      </c>
      <c r="H76" s="649"/>
      <c r="I76" s="695"/>
      <c r="J76" s="463"/>
      <c r="K76" s="696"/>
      <c r="L76" s="697"/>
      <c r="M76" s="1411">
        <f t="shared" ref="M76:N76" si="30">M134</f>
        <v>-35.824325999999999</v>
      </c>
      <c r="N76" s="1412">
        <f t="shared" si="30"/>
        <v>0</v>
      </c>
      <c r="O76" s="1409"/>
      <c r="P76" s="1410"/>
      <c r="Q76" s="559"/>
      <c r="R76" s="761"/>
      <c r="S76" s="647"/>
    </row>
    <row r="77" spans="2:19" s="411" customFormat="1" ht="14.1" customHeight="1" collapsed="1" x14ac:dyDescent="0.15">
      <c r="B77" s="525" t="s">
        <v>119</v>
      </c>
      <c r="C77" s="526" t="s">
        <v>120</v>
      </c>
      <c r="D77" s="643"/>
      <c r="E77" s="641">
        <f>E71</f>
        <v>6249</v>
      </c>
      <c r="F77" s="644"/>
      <c r="G77" s="530">
        <f>G71-G72</f>
        <v>646.02006600000402</v>
      </c>
      <c r="H77" s="645"/>
      <c r="I77" s="692"/>
      <c r="J77" s="641">
        <f>J71-J72</f>
        <v>0</v>
      </c>
      <c r="K77" s="698"/>
      <c r="L77" s="694"/>
      <c r="M77" s="1406">
        <f>M71-M72-1</f>
        <v>556.03363499998795</v>
      </c>
      <c r="N77" s="1406">
        <f>N71-N72</f>
        <v>0</v>
      </c>
      <c r="O77" s="1409"/>
      <c r="P77" s="1410"/>
      <c r="Q77" s="760"/>
      <c r="R77" s="759"/>
      <c r="S77" s="644"/>
    </row>
    <row r="78" spans="2:19" s="406" customFormat="1" ht="21" customHeight="1" x14ac:dyDescent="0.15">
      <c r="B78" s="1336" t="s">
        <v>121</v>
      </c>
      <c r="C78" s="1337"/>
      <c r="D78" s="650"/>
      <c r="E78" s="651"/>
      <c r="F78" s="652"/>
      <c r="G78" s="653"/>
      <c r="H78" s="654"/>
      <c r="I78" s="650"/>
      <c r="J78" s="651"/>
      <c r="K78" s="654"/>
      <c r="L78" s="699"/>
      <c r="M78" s="700"/>
      <c r="N78" s="700"/>
      <c r="O78" s="553"/>
      <c r="P78" s="553"/>
      <c r="Q78" s="605"/>
      <c r="R78" s="762"/>
      <c r="S78" s="763"/>
    </row>
    <row r="79" spans="2:19" s="407" customFormat="1" ht="26.1" customHeight="1" x14ac:dyDescent="0.15">
      <c r="B79" s="1338" t="s">
        <v>15</v>
      </c>
      <c r="C79" s="1339"/>
      <c r="D79" s="655" t="s">
        <v>35</v>
      </c>
      <c r="E79" s="656" t="s">
        <v>122</v>
      </c>
      <c r="F79" s="656" t="s">
        <v>123</v>
      </c>
      <c r="G79" s="657" t="s">
        <v>122</v>
      </c>
      <c r="H79" s="656" t="s">
        <v>123</v>
      </c>
      <c r="I79" s="701" t="s">
        <v>124</v>
      </c>
      <c r="J79" s="656" t="s">
        <v>122</v>
      </c>
      <c r="K79" s="656" t="s">
        <v>123</v>
      </c>
      <c r="L79" s="702" t="s">
        <v>124</v>
      </c>
      <c r="M79" s="703" t="s">
        <v>125</v>
      </c>
      <c r="N79" s="704" t="s">
        <v>126</v>
      </c>
      <c r="O79" s="705" t="s">
        <v>127</v>
      </c>
      <c r="P79" s="706" t="s">
        <v>128</v>
      </c>
      <c r="Q79" s="702" t="s">
        <v>124</v>
      </c>
      <c r="R79" s="764" t="s">
        <v>125</v>
      </c>
      <c r="S79" s="765" t="s">
        <v>129</v>
      </c>
    </row>
    <row r="80" spans="2:19" s="408" customFormat="1" ht="17.100000000000001" customHeight="1" x14ac:dyDescent="0.15">
      <c r="B80" s="658" t="s">
        <v>40</v>
      </c>
      <c r="C80" s="659" t="s">
        <v>54</v>
      </c>
      <c r="D80" s="660"/>
      <c r="E80" s="661">
        <f>E81+E82+E83</f>
        <v>89846</v>
      </c>
      <c r="F80" s="529">
        <f>F81+F82+F83</f>
        <v>11742.619595115801</v>
      </c>
      <c r="G80" s="662">
        <f>G81+G82+G83</f>
        <v>0</v>
      </c>
      <c r="H80" s="529">
        <f>H81+H82+H83</f>
        <v>0</v>
      </c>
      <c r="I80" s="527"/>
      <c r="J80" s="661">
        <f>J81+J82+J83</f>
        <v>58111</v>
      </c>
      <c r="K80" s="707">
        <f>K81+K82+K83</f>
        <v>7594.9443190767897</v>
      </c>
      <c r="L80" s="589"/>
      <c r="M80" s="708">
        <f>M81+M82+M83</f>
        <v>135</v>
      </c>
      <c r="N80" s="709">
        <f>N81+N82+N83</f>
        <v>17.6441204432099</v>
      </c>
      <c r="O80" s="710">
        <f>O81+O82+O83</f>
        <v>0</v>
      </c>
      <c r="P80" s="711">
        <f>P81+P82+P83</f>
        <v>0</v>
      </c>
      <c r="Q80" s="766"/>
      <c r="R80" s="767">
        <f>J80</f>
        <v>58111</v>
      </c>
      <c r="S80" s="768">
        <f>S81+S82+S83</f>
        <v>7594.9443190767897</v>
      </c>
    </row>
    <row r="81" spans="2:23" s="406" customFormat="1" ht="14.1" customHeight="1" outlineLevel="1" x14ac:dyDescent="0.3">
      <c r="B81" s="467">
        <v>1</v>
      </c>
      <c r="C81" s="468" t="s">
        <v>60</v>
      </c>
      <c r="D81" s="506" t="s">
        <v>218</v>
      </c>
      <c r="E81" s="470">
        <f>E34</f>
        <v>76173</v>
      </c>
      <c r="F81" s="471">
        <f t="shared" ref="F81:F85" si="31">E81/$F$29*10000</f>
        <v>9955.59693718981</v>
      </c>
      <c r="G81" s="472">
        <f>G34</f>
        <v>0</v>
      </c>
      <c r="H81" s="473"/>
      <c r="I81" s="560" t="s">
        <v>219</v>
      </c>
      <c r="J81" s="470">
        <f>J34</f>
        <v>42935</v>
      </c>
      <c r="K81" s="712">
        <f t="shared" ref="K81:K83" si="32">J81/$F$29*10000</f>
        <v>5611.48378688307</v>
      </c>
      <c r="L81" s="713">
        <f>M81/$M$80</f>
        <v>1</v>
      </c>
      <c r="M81" s="563">
        <f>M34</f>
        <v>135</v>
      </c>
      <c r="N81" s="714">
        <f>M81/$F$29*10000</f>
        <v>17.6441204432099</v>
      </c>
      <c r="O81" s="563"/>
      <c r="P81" s="715"/>
      <c r="Q81" s="614" t="s">
        <v>219</v>
      </c>
      <c r="R81" s="615">
        <f>J81</f>
        <v>42935</v>
      </c>
      <c r="S81" s="769">
        <f>K81</f>
        <v>5611.48378688307</v>
      </c>
    </row>
    <row r="82" spans="2:23" s="406" customFormat="1" ht="14.1" customHeight="1" outlineLevel="1" x14ac:dyDescent="0.3">
      <c r="B82" s="467">
        <v>2</v>
      </c>
      <c r="C82" s="468" t="s">
        <v>65</v>
      </c>
      <c r="D82" s="506" t="s">
        <v>221</v>
      </c>
      <c r="E82" s="470">
        <f>E35</f>
        <v>9121</v>
      </c>
      <c r="F82" s="471">
        <f t="shared" si="31"/>
        <v>1192.0890560186399</v>
      </c>
      <c r="G82" s="472">
        <f>G35</f>
        <v>0</v>
      </c>
      <c r="H82" s="473"/>
      <c r="I82" s="560" t="s">
        <v>222</v>
      </c>
      <c r="J82" s="470">
        <f>J35</f>
        <v>8576</v>
      </c>
      <c r="K82" s="712">
        <f t="shared" si="32"/>
        <v>1120.8590883034601</v>
      </c>
      <c r="L82" s="716"/>
      <c r="M82" s="563">
        <f>M35</f>
        <v>0</v>
      </c>
      <c r="N82" s="714"/>
      <c r="O82" s="563">
        <f>M82</f>
        <v>0</v>
      </c>
      <c r="P82" s="715"/>
      <c r="Q82" s="614" t="s">
        <v>222</v>
      </c>
      <c r="R82" s="615">
        <f>J82</f>
        <v>8576</v>
      </c>
      <c r="S82" s="769">
        <f>K82</f>
        <v>1120.8590883034601</v>
      </c>
    </row>
    <row r="83" spans="2:23" s="406" customFormat="1" ht="16.5" customHeight="1" outlineLevel="1" x14ac:dyDescent="0.3">
      <c r="B83" s="467">
        <v>3</v>
      </c>
      <c r="C83" s="468" t="s">
        <v>71</v>
      </c>
      <c r="D83" s="506" t="s">
        <v>223</v>
      </c>
      <c r="E83" s="470">
        <f>E36</f>
        <v>4552</v>
      </c>
      <c r="F83" s="471">
        <f t="shared" si="31"/>
        <v>594.93360190734199</v>
      </c>
      <c r="G83" s="472">
        <f>G36</f>
        <v>0</v>
      </c>
      <c r="H83" s="473"/>
      <c r="I83" s="560" t="s">
        <v>224</v>
      </c>
      <c r="J83" s="470">
        <f>J36</f>
        <v>6599.99999999999</v>
      </c>
      <c r="K83" s="712">
        <f t="shared" si="32"/>
        <v>862.601443890258</v>
      </c>
      <c r="L83" s="716"/>
      <c r="M83" s="563">
        <f>M36</f>
        <v>0</v>
      </c>
      <c r="N83" s="714"/>
      <c r="O83" s="563">
        <f>M83</f>
        <v>0</v>
      </c>
      <c r="P83" s="715"/>
      <c r="Q83" s="614" t="s">
        <v>224</v>
      </c>
      <c r="R83" s="615">
        <f>J83</f>
        <v>6599.99999999999</v>
      </c>
      <c r="S83" s="769">
        <f>K83</f>
        <v>862.601443890258</v>
      </c>
    </row>
    <row r="84" spans="2:23" s="408" customFormat="1" ht="17.100000000000001" customHeight="1" x14ac:dyDescent="0.15">
      <c r="B84" s="658" t="s">
        <v>45</v>
      </c>
      <c r="C84" s="659" t="s">
        <v>130</v>
      </c>
      <c r="D84" s="660"/>
      <c r="E84" s="661">
        <f>E85</f>
        <v>4550</v>
      </c>
      <c r="F84" s="529">
        <f>F85</f>
        <v>594.67220753040601</v>
      </c>
      <c r="G84" s="662">
        <f>G85</f>
        <v>0</v>
      </c>
      <c r="H84" s="529">
        <f>H85</f>
        <v>0</v>
      </c>
      <c r="I84" s="527"/>
      <c r="J84" s="661">
        <f>J85</f>
        <v>4550</v>
      </c>
      <c r="K84" s="707">
        <f>K85</f>
        <v>594.67220753040601</v>
      </c>
      <c r="L84" s="589"/>
      <c r="M84" s="708">
        <f>M85</f>
        <v>10.5702878973</v>
      </c>
      <c r="N84" s="709">
        <f>N85</f>
        <v>1.38150690947677</v>
      </c>
      <c r="O84" s="710">
        <f>O85</f>
        <v>0</v>
      </c>
      <c r="P84" s="711">
        <f>P85</f>
        <v>0</v>
      </c>
      <c r="Q84" s="766"/>
      <c r="R84" s="767">
        <f>R85</f>
        <v>4550</v>
      </c>
      <c r="S84" s="768">
        <f>S85</f>
        <v>594.67220753040601</v>
      </c>
    </row>
    <row r="85" spans="2:23" s="406" customFormat="1" ht="14.1" customHeight="1" outlineLevel="1" x14ac:dyDescent="0.3">
      <c r="B85" s="467">
        <v>1</v>
      </c>
      <c r="C85" s="481" t="s">
        <v>131</v>
      </c>
      <c r="D85" s="663">
        <f t="shared" ref="D85:D88" si="33">E85/$E$80</f>
        <v>5.0642210003784299E-2</v>
      </c>
      <c r="E85" s="483">
        <f>E39</f>
        <v>4550</v>
      </c>
      <c r="F85" s="471">
        <f t="shared" si="31"/>
        <v>594.67220753040601</v>
      </c>
      <c r="G85" s="486"/>
      <c r="H85" s="487"/>
      <c r="I85" s="569">
        <f>J85/$J$80</f>
        <v>7.8298428868888895E-2</v>
      </c>
      <c r="J85" s="483">
        <f>J39</f>
        <v>4550</v>
      </c>
      <c r="K85" s="717">
        <f t="shared" ref="K85:K88" si="34">J85/$F$29*10000</f>
        <v>594.67220753040601</v>
      </c>
      <c r="L85" s="718">
        <f t="shared" ref="L85:L88" si="35">M85/$M$80</f>
        <v>7.8298428868888895E-2</v>
      </c>
      <c r="M85" s="563">
        <v>10.5702878973</v>
      </c>
      <c r="N85" s="714">
        <f t="shared" ref="N85:N88" si="36">M85/$F$29*10000</f>
        <v>1.38150690947677</v>
      </c>
      <c r="O85" s="563"/>
      <c r="P85" s="715"/>
      <c r="Q85" s="770">
        <f>R85/$J$80</f>
        <v>7.8298428868888895E-2</v>
      </c>
      <c r="R85" s="615">
        <f>J85</f>
        <v>4550</v>
      </c>
      <c r="S85" s="769">
        <f>K85</f>
        <v>594.67220753040601</v>
      </c>
    </row>
    <row r="86" spans="2:23" s="408" customFormat="1" ht="17.100000000000001" customHeight="1" x14ac:dyDescent="0.15">
      <c r="B86" s="658" t="s">
        <v>83</v>
      </c>
      <c r="C86" s="659" t="s">
        <v>132</v>
      </c>
      <c r="D86" s="660"/>
      <c r="E86" s="661">
        <f>E87+E88</f>
        <v>58319</v>
      </c>
      <c r="F86" s="529">
        <f>F87+F88</f>
        <v>7622.1293342781901</v>
      </c>
      <c r="G86" s="662">
        <f>G87+G88</f>
        <v>0</v>
      </c>
      <c r="H86" s="529">
        <f>H87+H88</f>
        <v>0</v>
      </c>
      <c r="I86" s="527"/>
      <c r="J86" s="661">
        <f>J87+J88</f>
        <v>49318.949399999998</v>
      </c>
      <c r="K86" s="707">
        <f>K87+K88</f>
        <v>6445.84802478646</v>
      </c>
      <c r="L86" s="589"/>
      <c r="M86" s="708">
        <f>M87+M88</f>
        <v>114.574833835246</v>
      </c>
      <c r="N86" s="709">
        <f>N87+N88</f>
        <v>14.974608651480301</v>
      </c>
      <c r="O86" s="710">
        <f>O87+O88</f>
        <v>0</v>
      </c>
      <c r="P86" s="711">
        <f>P87+P88</f>
        <v>0</v>
      </c>
      <c r="Q86" s="766"/>
      <c r="R86" s="767">
        <f t="shared" ref="R86:S86" si="37">R87+R88</f>
        <v>49318.949399999998</v>
      </c>
      <c r="S86" s="768">
        <f t="shared" si="37"/>
        <v>6445.84802478646</v>
      </c>
    </row>
    <row r="87" spans="2:23" s="406" customFormat="1" ht="14.1" customHeight="1" x14ac:dyDescent="0.3">
      <c r="B87" s="488">
        <v>1</v>
      </c>
      <c r="C87" s="481" t="s">
        <v>133</v>
      </c>
      <c r="D87" s="663">
        <f t="shared" si="33"/>
        <v>0.36583709903612799</v>
      </c>
      <c r="E87" s="492">
        <f>E41</f>
        <v>32869</v>
      </c>
      <c r="F87" s="471">
        <f t="shared" ref="F87:F92" si="38">E87/$F$29*10000</f>
        <v>4295.8858877619596</v>
      </c>
      <c r="G87" s="472"/>
      <c r="H87" s="473">
        <f>G87/F$29*10000</f>
        <v>0</v>
      </c>
      <c r="I87" s="577" t="s">
        <v>228</v>
      </c>
      <c r="J87" s="492">
        <f>J41</f>
        <v>23718.949400000001</v>
      </c>
      <c r="K87" s="717">
        <f t="shared" si="34"/>
        <v>3100</v>
      </c>
      <c r="L87" s="718">
        <f t="shared" si="35"/>
        <v>0.40816625767926901</v>
      </c>
      <c r="M87" s="719">
        <f>M80*(J41/J33)</f>
        <v>55.102444786701298</v>
      </c>
      <c r="N87" s="714">
        <f t="shared" si="36"/>
        <v>7.2017346113472502</v>
      </c>
      <c r="O87" s="719"/>
      <c r="P87" s="720"/>
      <c r="Q87" s="771" t="s">
        <v>228</v>
      </c>
      <c r="R87" s="615">
        <f>J87</f>
        <v>23718.949400000001</v>
      </c>
      <c r="S87" s="769">
        <f>K87</f>
        <v>3100</v>
      </c>
      <c r="T87" s="408"/>
      <c r="U87" s="408"/>
      <c r="V87" s="408"/>
      <c r="W87" s="408"/>
    </row>
    <row r="88" spans="2:23" s="406" customFormat="1" ht="14.1" customHeight="1" x14ac:dyDescent="0.3">
      <c r="B88" s="488">
        <v>2</v>
      </c>
      <c r="C88" s="481" t="s">
        <v>134</v>
      </c>
      <c r="D88" s="663">
        <f t="shared" si="33"/>
        <v>0.283262471339848</v>
      </c>
      <c r="E88" s="492">
        <f>E42</f>
        <v>25450</v>
      </c>
      <c r="F88" s="471">
        <f t="shared" si="38"/>
        <v>3326.2434465162301</v>
      </c>
      <c r="G88" s="472"/>
      <c r="H88" s="473">
        <f>G88/F$29*10000</f>
        <v>0</v>
      </c>
      <c r="I88" s="577" t="s">
        <v>231</v>
      </c>
      <c r="J88" s="492">
        <f>J42</f>
        <v>25600</v>
      </c>
      <c r="K88" s="717">
        <f t="shared" si="34"/>
        <v>3345.84802478646</v>
      </c>
      <c r="L88" s="718">
        <f t="shared" si="35"/>
        <v>0.440536215174408</v>
      </c>
      <c r="M88" s="719">
        <f>M80*(J42/J33)</f>
        <v>59.472389048544997</v>
      </c>
      <c r="N88" s="714">
        <f t="shared" si="36"/>
        <v>7.7728740401330603</v>
      </c>
      <c r="O88" s="719"/>
      <c r="P88" s="720"/>
      <c r="Q88" s="772" t="s">
        <v>231</v>
      </c>
      <c r="R88" s="615">
        <f>J88</f>
        <v>25600</v>
      </c>
      <c r="S88" s="769">
        <f>K88</f>
        <v>3345.84802478646</v>
      </c>
      <c r="T88" s="408"/>
      <c r="U88" s="408"/>
      <c r="V88" s="408"/>
      <c r="W88" s="408"/>
    </row>
    <row r="89" spans="2:23" s="408" customFormat="1" ht="17.100000000000001" customHeight="1" x14ac:dyDescent="0.15">
      <c r="B89" s="658" t="s">
        <v>105</v>
      </c>
      <c r="C89" s="659" t="s">
        <v>135</v>
      </c>
      <c r="D89" s="660"/>
      <c r="E89" s="661">
        <f>E80-E84-E86</f>
        <v>26977</v>
      </c>
      <c r="F89" s="529">
        <f>F80-F84-F86</f>
        <v>3525.8180533072</v>
      </c>
      <c r="G89" s="662">
        <f>G80-G84-G86</f>
        <v>0</v>
      </c>
      <c r="H89" s="529">
        <f>H80-H84-H86</f>
        <v>0</v>
      </c>
      <c r="I89" s="527"/>
      <c r="J89" s="661">
        <f>J80-J84-J86</f>
        <v>4242.0505999999996</v>
      </c>
      <c r="K89" s="707">
        <f>K80-K84-K86</f>
        <v>554.42408675992704</v>
      </c>
      <c r="L89" s="589"/>
      <c r="M89" s="708">
        <f>M80-M84-M86</f>
        <v>9.8548782674536408</v>
      </c>
      <c r="N89" s="709">
        <f>N80-N84-N86</f>
        <v>1.2880048822527601</v>
      </c>
      <c r="O89" s="710">
        <f>O80-O84-O86</f>
        <v>0</v>
      </c>
      <c r="P89" s="711">
        <f>P80-P84-P86</f>
        <v>0</v>
      </c>
      <c r="Q89" s="766"/>
      <c r="R89" s="767">
        <f>R80-R84-R86</f>
        <v>4242.0505999999996</v>
      </c>
      <c r="S89" s="768">
        <f>S80-S84-S86</f>
        <v>554.42408675992704</v>
      </c>
    </row>
    <row r="90" spans="2:23" s="412" customFormat="1" ht="17.100000000000001" customHeight="1" x14ac:dyDescent="0.15">
      <c r="B90" s="664"/>
      <c r="C90" s="665" t="s">
        <v>136</v>
      </c>
      <c r="D90" s="666"/>
      <c r="E90" s="667">
        <f>E89/E80</f>
        <v>0.30025821962023902</v>
      </c>
      <c r="F90" s="668">
        <f>F89/F80</f>
        <v>0.30025821962023902</v>
      </c>
      <c r="G90" s="669"/>
      <c r="H90" s="668"/>
      <c r="I90" s="666"/>
      <c r="J90" s="667">
        <f>J89/J80</f>
        <v>7.2999098277434504E-2</v>
      </c>
      <c r="K90" s="721">
        <f>K89/K80</f>
        <v>7.2999098277434199E-2</v>
      </c>
      <c r="L90" s="722"/>
      <c r="M90" s="723">
        <f>M89/M80</f>
        <v>7.2999098277434393E-2</v>
      </c>
      <c r="N90" s="724">
        <f>N89/N80</f>
        <v>7.2999098277434296E-2</v>
      </c>
      <c r="O90" s="723"/>
      <c r="P90" s="725"/>
      <c r="Q90" s="773"/>
      <c r="R90" s="774">
        <f>R89/R80</f>
        <v>7.2999098277434504E-2</v>
      </c>
      <c r="S90" s="775">
        <f>S89/S80</f>
        <v>7.2999098277434199E-2</v>
      </c>
      <c r="T90" s="408"/>
      <c r="U90" s="408"/>
      <c r="V90" s="408"/>
      <c r="W90" s="408"/>
    </row>
    <row r="91" spans="2:23" s="408" customFormat="1" ht="17.100000000000001" customHeight="1" x14ac:dyDescent="0.15">
      <c r="B91" s="658" t="s">
        <v>112</v>
      </c>
      <c r="C91" s="659" t="s">
        <v>137</v>
      </c>
      <c r="D91" s="660"/>
      <c r="E91" s="661">
        <f>E92+E96+E93</f>
        <v>13739</v>
      </c>
      <c r="F91" s="529">
        <f>F92+F96+F93</f>
        <v>1795.64867236489</v>
      </c>
      <c r="G91" s="662">
        <f>G92+G96+G93</f>
        <v>2468.819434</v>
      </c>
      <c r="H91" s="529">
        <f>H92+H96+H93</f>
        <v>322.667758859505</v>
      </c>
      <c r="I91" s="527"/>
      <c r="J91" s="661">
        <f>J92+J96+J93</f>
        <v>12039.89112</v>
      </c>
      <c r="K91" s="707">
        <f>K92+K96+K93</f>
        <v>1573.5799188475</v>
      </c>
      <c r="L91" s="589"/>
      <c r="M91" s="710">
        <f>M92+M96+M93</f>
        <v>2372.161263</v>
      </c>
      <c r="N91" s="726">
        <f>N92+N96+N93</f>
        <v>310.034807667324</v>
      </c>
      <c r="O91" s="710">
        <f>O92+O96+O93</f>
        <v>2372.161263</v>
      </c>
      <c r="P91" s="711">
        <f>P92+P96+P93</f>
        <v>310.034807667324</v>
      </c>
      <c r="Q91" s="766"/>
      <c r="R91" s="767">
        <f>R92+R96+R93</f>
        <v>12039.89112</v>
      </c>
      <c r="S91" s="768">
        <f>S92+S96+S93</f>
        <v>1573.5799188475</v>
      </c>
    </row>
    <row r="92" spans="2:23" s="406" customFormat="1" ht="14.1" customHeight="1" outlineLevel="1" x14ac:dyDescent="0.3">
      <c r="B92" s="467">
        <v>1</v>
      </c>
      <c r="C92" s="468" t="s">
        <v>89</v>
      </c>
      <c r="D92" s="670">
        <v>2.29949023885315E-2</v>
      </c>
      <c r="E92" s="470">
        <f>E44</f>
        <v>2066</v>
      </c>
      <c r="F92" s="471">
        <f t="shared" si="38"/>
        <v>270.02039137534501</v>
      </c>
      <c r="G92" s="505">
        <f>G44</f>
        <v>482.096316</v>
      </c>
      <c r="H92" s="487">
        <f t="shared" ref="H92:H95" si="39">G92/$F$29*10000</f>
        <v>63.0086330720871</v>
      </c>
      <c r="I92" s="577" t="s">
        <v>232</v>
      </c>
      <c r="J92" s="470">
        <f>J44</f>
        <v>3370.446062</v>
      </c>
      <c r="K92" s="727">
        <f t="shared" ref="K92:K95" si="40">J92/$F$29*10000</f>
        <v>440.50782418718802</v>
      </c>
      <c r="L92" s="728">
        <f t="shared" ref="L92:L99" si="41">M92/$M$80</f>
        <v>5.5125350222222202</v>
      </c>
      <c r="M92" s="729">
        <f>M44</f>
        <v>744.192228</v>
      </c>
      <c r="N92" s="714">
        <f t="shared" ref="N92:N99" si="42">M92/$F$29*10000</f>
        <v>97.263831879501396</v>
      </c>
      <c r="O92" s="730">
        <f>M92</f>
        <v>744.192228</v>
      </c>
      <c r="P92" s="731">
        <f>O92/$F$29*10000</f>
        <v>97.263831879501396</v>
      </c>
      <c r="Q92" s="771" t="s">
        <v>232</v>
      </c>
      <c r="R92" s="615">
        <f t="shared" ref="R92:R99" si="43">J92</f>
        <v>3370.446062</v>
      </c>
      <c r="S92" s="769">
        <f>K92</f>
        <v>440.50782418718802</v>
      </c>
    </row>
    <row r="93" spans="2:23" s="406" customFormat="1" ht="14.1" customHeight="1" outlineLevel="1" x14ac:dyDescent="0.15">
      <c r="B93" s="467">
        <v>2</v>
      </c>
      <c r="C93" s="468" t="s">
        <v>93</v>
      </c>
      <c r="D93" s="534">
        <f t="shared" ref="D93:D98" si="44">E93/$E$80</f>
        <v>6.1994969169467798E-2</v>
      </c>
      <c r="E93" s="470">
        <f>SUM(E94:E95)</f>
        <v>5570</v>
      </c>
      <c r="F93" s="504">
        <f>SUM(F94:F95)</f>
        <v>727.98333976799199</v>
      </c>
      <c r="G93" s="505">
        <f>SUM(G94:G95)</f>
        <v>1416.146369</v>
      </c>
      <c r="H93" s="514">
        <f>SUM(H94:H95)</f>
        <v>185.08634888777999</v>
      </c>
      <c r="I93" s="577" t="s">
        <v>233</v>
      </c>
      <c r="J93" s="470">
        <f>SUM(J94:J95)</f>
        <v>1278.445058</v>
      </c>
      <c r="K93" s="727">
        <f>SUM(K94:K95)</f>
        <v>167.08917469169199</v>
      </c>
      <c r="L93" s="728">
        <f t="shared" si="41"/>
        <v>10.8787307407407</v>
      </c>
      <c r="M93" s="729">
        <f>SUM(M94:M95)</f>
        <v>1468.6286500000001</v>
      </c>
      <c r="N93" s="714">
        <f t="shared" si="42"/>
        <v>191.945635458879</v>
      </c>
      <c r="O93" s="729">
        <f>SUM(O94:O95)</f>
        <v>1468.6286500000001</v>
      </c>
      <c r="P93" s="731">
        <f t="shared" ref="P93:P99" si="45">O93/$F$29*10000</f>
        <v>191.945635458879</v>
      </c>
      <c r="Q93" s="771" t="s">
        <v>233</v>
      </c>
      <c r="R93" s="615">
        <f t="shared" si="43"/>
        <v>1278.445058</v>
      </c>
      <c r="S93" s="769">
        <f>SUM(S94:S95)</f>
        <v>167.08917469169199</v>
      </c>
    </row>
    <row r="94" spans="2:23" s="406" customFormat="1" ht="14.1" customHeight="1" outlineLevel="2" x14ac:dyDescent="0.3">
      <c r="B94" s="467">
        <v>2.1</v>
      </c>
      <c r="C94" s="468" t="s">
        <v>138</v>
      </c>
      <c r="D94" s="671">
        <v>3.1999198628764797E-2</v>
      </c>
      <c r="E94" s="470">
        <f>E46</f>
        <v>2875</v>
      </c>
      <c r="F94" s="471">
        <f t="shared" ref="F94:F97" si="46">E94/$F$29*10000</f>
        <v>375.754416846136</v>
      </c>
      <c r="G94" s="508">
        <f>G46</f>
        <v>1119.1166660296999</v>
      </c>
      <c r="H94" s="487">
        <f t="shared" si="39"/>
        <v>146.26540181801099</v>
      </c>
      <c r="I94" s="577">
        <f t="shared" ref="I94:I99" si="47">J94/$J$80</f>
        <v>1.68886330476107E-2</v>
      </c>
      <c r="J94" s="470">
        <f>J46</f>
        <v>981.41535502970305</v>
      </c>
      <c r="K94" s="712">
        <f t="shared" si="40"/>
        <v>128.26822762192299</v>
      </c>
      <c r="L94" s="732">
        <f t="shared" si="41"/>
        <v>8.67851071873854</v>
      </c>
      <c r="M94" s="729">
        <f>M46-65.650267</f>
        <v>1171.5989470297</v>
      </c>
      <c r="N94" s="714">
        <f t="shared" si="42"/>
        <v>153.12468838911099</v>
      </c>
      <c r="O94" s="730">
        <f>M94</f>
        <v>1171.5989470297</v>
      </c>
      <c r="P94" s="731">
        <f t="shared" si="45"/>
        <v>153.12468838911099</v>
      </c>
      <c r="Q94" s="776">
        <f t="shared" ref="Q94:Q99" si="48">R94/$R$80</f>
        <v>1.68886330476107E-2</v>
      </c>
      <c r="R94" s="615">
        <f t="shared" si="43"/>
        <v>981.41535502970305</v>
      </c>
      <c r="S94" s="769">
        <f>K94</f>
        <v>128.26822762192299</v>
      </c>
    </row>
    <row r="95" spans="2:23" s="406" customFormat="1" ht="14.1" customHeight="1" outlineLevel="2" x14ac:dyDescent="0.3">
      <c r="B95" s="467">
        <v>2.2000000000000002</v>
      </c>
      <c r="C95" s="468" t="s">
        <v>139</v>
      </c>
      <c r="D95" s="670">
        <v>2.9995770540703001E-2</v>
      </c>
      <c r="E95" s="470">
        <f>E47</f>
        <v>2695</v>
      </c>
      <c r="F95" s="471">
        <f t="shared" si="46"/>
        <v>352.228922921856</v>
      </c>
      <c r="G95" s="508">
        <f>G47</f>
        <v>297.02970297029702</v>
      </c>
      <c r="H95" s="487">
        <f t="shared" si="39"/>
        <v>38.8209470697686</v>
      </c>
      <c r="I95" s="577">
        <f t="shared" si="47"/>
        <v>5.11141957581692E-3</v>
      </c>
      <c r="J95" s="470">
        <f>J47</f>
        <v>297.02970297029702</v>
      </c>
      <c r="K95" s="712">
        <f t="shared" si="40"/>
        <v>38.8209470697686</v>
      </c>
      <c r="L95" s="732">
        <f t="shared" si="41"/>
        <v>2.2002200220021999</v>
      </c>
      <c r="M95" s="729">
        <f>M47</f>
        <v>297.02970297029702</v>
      </c>
      <c r="N95" s="714">
        <f t="shared" si="42"/>
        <v>38.8209470697686</v>
      </c>
      <c r="O95" s="730">
        <f>M95</f>
        <v>297.02970297029702</v>
      </c>
      <c r="P95" s="731">
        <f t="shared" si="45"/>
        <v>38.8209470697686</v>
      </c>
      <c r="Q95" s="776">
        <f t="shared" si="48"/>
        <v>5.11141957581692E-3</v>
      </c>
      <c r="R95" s="615">
        <f t="shared" si="43"/>
        <v>297.02970297029702</v>
      </c>
      <c r="S95" s="769">
        <f>K95</f>
        <v>38.8209470697686</v>
      </c>
    </row>
    <row r="96" spans="2:23" s="406" customFormat="1" ht="14.1" customHeight="1" outlineLevel="1" x14ac:dyDescent="0.15">
      <c r="B96" s="467">
        <v>3</v>
      </c>
      <c r="C96" s="468" t="s">
        <v>98</v>
      </c>
      <c r="D96" s="534">
        <f t="shared" si="44"/>
        <v>6.7927342341339597E-2</v>
      </c>
      <c r="E96" s="470">
        <f>SUM(E97:E99)</f>
        <v>6103</v>
      </c>
      <c r="F96" s="509">
        <f>SUM(F97:F99)</f>
        <v>797.64494122155304</v>
      </c>
      <c r="G96" s="508">
        <f>SUM(G97:G99)</f>
        <v>570.57674899999995</v>
      </c>
      <c r="H96" s="473">
        <f>SUM(H97:H99)</f>
        <v>74.572776899637901</v>
      </c>
      <c r="I96" s="577" t="s">
        <v>236</v>
      </c>
      <c r="J96" s="470">
        <f>SUM(J97:J99)</f>
        <v>7391</v>
      </c>
      <c r="K96" s="733">
        <f>SUM(K97:K99)</f>
        <v>965.98291996862201</v>
      </c>
      <c r="L96" s="734">
        <f t="shared" si="41"/>
        <v>1.18029914814815</v>
      </c>
      <c r="M96" s="729">
        <f>SUM(M97:M99)</f>
        <v>159.340385</v>
      </c>
      <c r="N96" s="714">
        <f t="shared" si="42"/>
        <v>20.825340328943899</v>
      </c>
      <c r="O96" s="730">
        <f>SUM(O97:O99)</f>
        <v>159.340385</v>
      </c>
      <c r="P96" s="731">
        <f t="shared" si="45"/>
        <v>20.825340328943899</v>
      </c>
      <c r="Q96" s="771" t="s">
        <v>236</v>
      </c>
      <c r="R96" s="615">
        <f t="shared" si="43"/>
        <v>7391</v>
      </c>
      <c r="S96" s="769">
        <f>SUM(S97:S99)</f>
        <v>965.98291996862201</v>
      </c>
    </row>
    <row r="97" spans="2:19" s="406" customFormat="1" ht="14.1" customHeight="1" outlineLevel="2" x14ac:dyDescent="0.3">
      <c r="B97" s="467">
        <v>3.1</v>
      </c>
      <c r="C97" s="468" t="s">
        <v>140</v>
      </c>
      <c r="D97" s="534">
        <f t="shared" si="44"/>
        <v>5.5094272421699397E-2</v>
      </c>
      <c r="E97" s="470">
        <f>E49</f>
        <v>4950</v>
      </c>
      <c r="F97" s="471">
        <f t="shared" si="46"/>
        <v>646.95108291769395</v>
      </c>
      <c r="G97" s="508">
        <f>G49</f>
        <v>570</v>
      </c>
      <c r="H97" s="487">
        <f t="shared" ref="H97:H101" si="49">G97/$F$29*10000</f>
        <v>74.497397426885996</v>
      </c>
      <c r="I97" s="577">
        <f t="shared" si="47"/>
        <v>0.12718762368570499</v>
      </c>
      <c r="J97" s="470">
        <f>J49</f>
        <v>7391</v>
      </c>
      <c r="K97" s="733">
        <f>J97/$F$29*10000</f>
        <v>965.98291996862201</v>
      </c>
      <c r="L97" s="734">
        <f t="shared" si="41"/>
        <v>0.62551442962963</v>
      </c>
      <c r="M97" s="729">
        <f>M49</f>
        <v>84.444447999999994</v>
      </c>
      <c r="N97" s="714">
        <f t="shared" si="42"/>
        <v>11.0366519353509</v>
      </c>
      <c r="O97" s="730">
        <f>M97</f>
        <v>84.444447999999994</v>
      </c>
      <c r="P97" s="731">
        <f t="shared" si="45"/>
        <v>11.0366519353509</v>
      </c>
      <c r="Q97" s="776">
        <f t="shared" si="48"/>
        <v>0.12718762368570499</v>
      </c>
      <c r="R97" s="615">
        <f t="shared" si="43"/>
        <v>7391</v>
      </c>
      <c r="S97" s="769">
        <f>K97</f>
        <v>965.98291996862201</v>
      </c>
    </row>
    <row r="98" spans="2:19" s="406" customFormat="1" ht="14.1" customHeight="1" outlineLevel="2" x14ac:dyDescent="0.15">
      <c r="B98" s="467">
        <v>3.2</v>
      </c>
      <c r="C98" s="468" t="s">
        <v>141</v>
      </c>
      <c r="D98" s="534">
        <f t="shared" si="44"/>
        <v>0</v>
      </c>
      <c r="E98" s="470">
        <f>E50</f>
        <v>0</v>
      </c>
      <c r="F98" s="509">
        <f>E98</f>
        <v>0</v>
      </c>
      <c r="G98" s="508">
        <f>G50</f>
        <v>0.57674900000006302</v>
      </c>
      <c r="H98" s="487">
        <f t="shared" si="49"/>
        <v>7.5379472751866294E-2</v>
      </c>
      <c r="I98" s="577">
        <f t="shared" si="47"/>
        <v>0</v>
      </c>
      <c r="J98" s="470">
        <f>J50</f>
        <v>0</v>
      </c>
      <c r="K98" s="733">
        <f t="shared" ref="K98:K99" si="50">J98</f>
        <v>0</v>
      </c>
      <c r="L98" s="734">
        <f t="shared" si="41"/>
        <v>0.55478471851851896</v>
      </c>
      <c r="M98" s="729">
        <f>M50</f>
        <v>74.895937000000103</v>
      </c>
      <c r="N98" s="714">
        <f t="shared" si="42"/>
        <v>9.7886883935930307</v>
      </c>
      <c r="O98" s="730">
        <f>M98</f>
        <v>74.895937000000103</v>
      </c>
      <c r="P98" s="731">
        <f t="shared" si="45"/>
        <v>9.7886883935930307</v>
      </c>
      <c r="Q98" s="776">
        <f t="shared" si="48"/>
        <v>0</v>
      </c>
      <c r="R98" s="632">
        <f t="shared" si="43"/>
        <v>0</v>
      </c>
      <c r="S98" s="769">
        <f t="shared" ref="S98" si="51">R98</f>
        <v>0</v>
      </c>
    </row>
    <row r="99" spans="2:19" s="406" customFormat="1" ht="14.1" customHeight="1" outlineLevel="2" x14ac:dyDescent="0.3">
      <c r="B99" s="467">
        <v>3.3</v>
      </c>
      <c r="C99" s="468" t="s">
        <v>142</v>
      </c>
      <c r="D99" s="670">
        <v>1.4999999999999999E-2</v>
      </c>
      <c r="E99" s="470">
        <f>E51</f>
        <v>1153</v>
      </c>
      <c r="F99" s="471">
        <f t="shared" ref="F99:F103" si="52">E99/$F$29*10000</f>
        <v>150.693858303859</v>
      </c>
      <c r="G99" s="508">
        <f>G51</f>
        <v>0</v>
      </c>
      <c r="H99" s="487">
        <f>G99</f>
        <v>0</v>
      </c>
      <c r="I99" s="577">
        <f t="shared" si="47"/>
        <v>0</v>
      </c>
      <c r="J99" s="470">
        <f>J51</f>
        <v>0</v>
      </c>
      <c r="K99" s="733">
        <f t="shared" si="50"/>
        <v>0</v>
      </c>
      <c r="L99" s="734">
        <f t="shared" si="41"/>
        <v>0</v>
      </c>
      <c r="M99" s="729">
        <f>M51</f>
        <v>0</v>
      </c>
      <c r="N99" s="714">
        <f t="shared" si="42"/>
        <v>0</v>
      </c>
      <c r="O99" s="730">
        <f>M99</f>
        <v>0</v>
      </c>
      <c r="P99" s="731">
        <f t="shared" si="45"/>
        <v>0</v>
      </c>
      <c r="Q99" s="776">
        <f t="shared" si="48"/>
        <v>0</v>
      </c>
      <c r="R99" s="615">
        <f t="shared" si="43"/>
        <v>0</v>
      </c>
      <c r="S99" s="769">
        <f t="shared" ref="S99" si="53">R99</f>
        <v>0</v>
      </c>
    </row>
    <row r="100" spans="2:19" s="408" customFormat="1" ht="17.100000000000001" customHeight="1" x14ac:dyDescent="0.15">
      <c r="B100" s="658" t="s">
        <v>115</v>
      </c>
      <c r="C100" s="659" t="s">
        <v>99</v>
      </c>
      <c r="D100" s="660"/>
      <c r="E100" s="661">
        <f t="shared" ref="E100:P100" si="54">E101+E102+E103</f>
        <v>7192</v>
      </c>
      <c r="F100" s="529">
        <f t="shared" si="54"/>
        <v>939.97417946344603</v>
      </c>
      <c r="G100" s="662">
        <f t="shared" si="54"/>
        <v>14.162689</v>
      </c>
      <c r="H100" s="529">
        <f t="shared" si="54"/>
        <v>1.8510236334498</v>
      </c>
      <c r="I100" s="527"/>
      <c r="J100" s="661">
        <f t="shared" si="54"/>
        <v>471.49684199081298</v>
      </c>
      <c r="K100" s="707">
        <f t="shared" si="54"/>
        <v>61.623311619844301</v>
      </c>
      <c r="L100" s="589"/>
      <c r="M100" s="710">
        <f t="shared" si="54"/>
        <v>22.653831</v>
      </c>
      <c r="N100" s="726">
        <f t="shared" si="54"/>
        <v>2.9607920197342299</v>
      </c>
      <c r="O100" s="710">
        <f t="shared" si="54"/>
        <v>22.653831</v>
      </c>
      <c r="P100" s="711">
        <f t="shared" si="54"/>
        <v>2.9607920197342299</v>
      </c>
      <c r="Q100" s="766"/>
      <c r="R100" s="777">
        <f>R101+R102+R103</f>
        <v>471.49684199081298</v>
      </c>
      <c r="S100" s="778">
        <f>S101+S102+S103</f>
        <v>61.623311619844301</v>
      </c>
    </row>
    <row r="101" spans="2:19" s="406" customFormat="1" ht="14.1" customHeight="1" outlineLevel="1" x14ac:dyDescent="0.3">
      <c r="B101" s="467">
        <v>1</v>
      </c>
      <c r="C101" s="468" t="s">
        <v>143</v>
      </c>
      <c r="D101" s="469" t="s">
        <v>247</v>
      </c>
      <c r="E101" s="470">
        <f>E53</f>
        <v>2458</v>
      </c>
      <c r="F101" s="471">
        <f t="shared" si="52"/>
        <v>321.25368925488698</v>
      </c>
      <c r="G101" s="472">
        <f>G53</f>
        <v>14.162689</v>
      </c>
      <c r="H101" s="487">
        <f t="shared" si="49"/>
        <v>1.8510236334498</v>
      </c>
      <c r="I101" s="560" t="s">
        <v>247</v>
      </c>
      <c r="J101" s="470">
        <f>J53</f>
        <v>471.49684199081298</v>
      </c>
      <c r="K101" s="733">
        <f t="shared" ref="K101:P101" si="55">J101/$F$29*10000</f>
        <v>61.623311619844301</v>
      </c>
      <c r="L101" s="734">
        <f>M101/$M$80</f>
        <v>0.167806155555556</v>
      </c>
      <c r="M101" s="735">
        <f>M53</f>
        <v>22.653831</v>
      </c>
      <c r="N101" s="714">
        <f t="shared" si="55"/>
        <v>2.9607920197342299</v>
      </c>
      <c r="O101" s="729">
        <f>M101</f>
        <v>22.653831</v>
      </c>
      <c r="P101" s="731">
        <f t="shared" si="55"/>
        <v>2.9607920197342299</v>
      </c>
      <c r="Q101" s="614" t="s">
        <v>247</v>
      </c>
      <c r="R101" s="615">
        <f>J101</f>
        <v>471.49684199081298</v>
      </c>
      <c r="S101" s="769">
        <f>K101</f>
        <v>61.623311619844301</v>
      </c>
    </row>
    <row r="102" spans="2:19" s="406" customFormat="1" ht="14.1" customHeight="1" outlineLevel="1" x14ac:dyDescent="0.3">
      <c r="B102" s="467">
        <v>2</v>
      </c>
      <c r="C102" s="468" t="s">
        <v>144</v>
      </c>
      <c r="D102" s="534">
        <f t="shared" ref="D102:D104" si="56">E102/$E$80</f>
        <v>2.95060436747323E-2</v>
      </c>
      <c r="E102" s="470">
        <f>E54</f>
        <v>2651</v>
      </c>
      <c r="F102" s="471">
        <f t="shared" si="52"/>
        <v>346.47824662925399</v>
      </c>
      <c r="G102" s="472">
        <f>G54</f>
        <v>0</v>
      </c>
      <c r="H102" s="510">
        <f>G102</f>
        <v>0</v>
      </c>
      <c r="I102" s="560"/>
      <c r="J102" s="470">
        <f>J54</f>
        <v>0</v>
      </c>
      <c r="K102" s="733">
        <f>J102</f>
        <v>0</v>
      </c>
      <c r="L102" s="736"/>
      <c r="M102" s="735">
        <f>M54</f>
        <v>0</v>
      </c>
      <c r="N102" s="737"/>
      <c r="O102" s="729">
        <f>M102</f>
        <v>0</v>
      </c>
      <c r="P102" s="738"/>
      <c r="Q102" s="779"/>
      <c r="R102" s="615">
        <f>J102</f>
        <v>0</v>
      </c>
      <c r="S102" s="769">
        <f>R102</f>
        <v>0</v>
      </c>
    </row>
    <row r="103" spans="2:19" s="406" customFormat="1" ht="14.1" customHeight="1" outlineLevel="1" x14ac:dyDescent="0.3">
      <c r="B103" s="467">
        <v>3</v>
      </c>
      <c r="C103" s="468" t="s">
        <v>145</v>
      </c>
      <c r="D103" s="534">
        <f t="shared" si="56"/>
        <v>2.3184115041292901E-2</v>
      </c>
      <c r="E103" s="470">
        <f>E55</f>
        <v>2083</v>
      </c>
      <c r="F103" s="471">
        <f t="shared" si="52"/>
        <v>272.24224357930501</v>
      </c>
      <c r="G103" s="472">
        <f>G55</f>
        <v>0</v>
      </c>
      <c r="H103" s="510">
        <f>G103</f>
        <v>0</v>
      </c>
      <c r="I103" s="560"/>
      <c r="J103" s="470">
        <f>J55</f>
        <v>0</v>
      </c>
      <c r="K103" s="733">
        <f>J103</f>
        <v>0</v>
      </c>
      <c r="L103" s="736"/>
      <c r="M103" s="735">
        <f>M55</f>
        <v>0</v>
      </c>
      <c r="N103" s="737"/>
      <c r="O103" s="729">
        <f>M103</f>
        <v>0</v>
      </c>
      <c r="P103" s="738"/>
      <c r="Q103" s="779"/>
      <c r="R103" s="632">
        <f>J103</f>
        <v>0</v>
      </c>
      <c r="S103" s="769">
        <f>R103</f>
        <v>0</v>
      </c>
    </row>
    <row r="104" spans="2:19" s="406" customFormat="1" ht="14.1" customHeight="1" x14ac:dyDescent="0.2">
      <c r="B104" s="525" t="s">
        <v>117</v>
      </c>
      <c r="C104" s="526" t="s">
        <v>101</v>
      </c>
      <c r="D104" s="527">
        <f t="shared" si="56"/>
        <v>0</v>
      </c>
      <c r="E104" s="641">
        <f>E56</f>
        <v>0</v>
      </c>
      <c r="F104" s="642">
        <f>E104</f>
        <v>0</v>
      </c>
      <c r="G104" s="672">
        <f>G56</f>
        <v>-1.6560140000000001</v>
      </c>
      <c r="H104" s="639">
        <f>G104/$F$29*10000</f>
        <v>-0.21643637386401299</v>
      </c>
      <c r="I104" s="739">
        <f>J104/$J$80</f>
        <v>0</v>
      </c>
      <c r="J104" s="641">
        <f>J56</f>
        <v>0</v>
      </c>
      <c r="K104" s="740">
        <f>J104</f>
        <v>0</v>
      </c>
      <c r="L104" s="741">
        <f>M104/$M$80</f>
        <v>-1.58014814814815E-2</v>
      </c>
      <c r="M104" s="742">
        <f>M56</f>
        <v>-2.1332</v>
      </c>
      <c r="N104" s="743">
        <f>M104/$F$29*10000</f>
        <v>-0.27880324244040899</v>
      </c>
      <c r="O104" s="710">
        <f>M104</f>
        <v>-2.1332</v>
      </c>
      <c r="P104" s="744">
        <f>O104/$F$29*10000</f>
        <v>-0.27880324244040899</v>
      </c>
      <c r="Q104" s="780">
        <f>R104/$R$80</f>
        <v>0</v>
      </c>
      <c r="R104" s="781">
        <f>J104</f>
        <v>0</v>
      </c>
      <c r="S104" s="782">
        <f>R104</f>
        <v>0</v>
      </c>
    </row>
    <row r="105" spans="2:19" s="408" customFormat="1" ht="17.100000000000001" customHeight="1" x14ac:dyDescent="0.15">
      <c r="B105" s="658" t="s">
        <v>119</v>
      </c>
      <c r="C105" s="659" t="s">
        <v>146</v>
      </c>
      <c r="D105" s="660"/>
      <c r="E105" s="661">
        <f>E89-E91-E100-E104+203</f>
        <v>6249</v>
      </c>
      <c r="F105" s="529">
        <f>E105/F29*10000</f>
        <v>816.72673073791395</v>
      </c>
      <c r="G105" s="661">
        <f>G89-G91-G100-G104</f>
        <v>-2481.3261090000001</v>
      </c>
      <c r="H105" s="529">
        <f>H89-H91-H100-H104</f>
        <v>-324.302346119091</v>
      </c>
      <c r="I105" s="527"/>
      <c r="J105" s="661">
        <f>J89-J91-J100-J104</f>
        <v>-8269.3373619908198</v>
      </c>
      <c r="K105" s="707">
        <f>K89-K91-K100-K104</f>
        <v>-1080.77914370742</v>
      </c>
      <c r="L105" s="589"/>
      <c r="M105" s="710">
        <f>M89-M91-M100-M104</f>
        <v>-2382.8270157325501</v>
      </c>
      <c r="N105" s="726">
        <f>N89-N91-N100-N104</f>
        <v>-311.42879156236597</v>
      </c>
      <c r="O105" s="710">
        <f>O89-O91-O100-O104</f>
        <v>-2392.6818939999998</v>
      </c>
      <c r="P105" s="711">
        <f>P89-P91-P100-P104</f>
        <v>-312.71679644461801</v>
      </c>
      <c r="Q105" s="780"/>
      <c r="R105" s="767">
        <f>R89-R91-R100-R104</f>
        <v>-8269.3373619908198</v>
      </c>
      <c r="S105" s="768">
        <f>S89-S91-S100-S104</f>
        <v>-1080.77914370742</v>
      </c>
    </row>
    <row r="106" spans="2:19" s="408" customFormat="1" ht="17.100000000000001" customHeight="1" x14ac:dyDescent="0.15">
      <c r="B106" s="658" t="s">
        <v>147</v>
      </c>
      <c r="C106" s="659" t="s">
        <v>148</v>
      </c>
      <c r="D106" s="660"/>
      <c r="E106" s="661">
        <f>E105</f>
        <v>6249</v>
      </c>
      <c r="F106" s="529">
        <f>F105</f>
        <v>816.72673073791395</v>
      </c>
      <c r="G106" s="662"/>
      <c r="H106" s="529"/>
      <c r="I106" s="527"/>
      <c r="J106" s="661">
        <f>J105</f>
        <v>-8269.3373619908198</v>
      </c>
      <c r="K106" s="707">
        <f>K105</f>
        <v>-1080.77914370742</v>
      </c>
      <c r="L106" s="589"/>
      <c r="M106" s="708"/>
      <c r="N106" s="745"/>
      <c r="O106" s="746"/>
      <c r="P106" s="747"/>
      <c r="Q106" s="780"/>
      <c r="R106" s="757">
        <f>R105</f>
        <v>-8269.3373619908198</v>
      </c>
      <c r="S106" s="783">
        <f>S105</f>
        <v>-1080.77914370742</v>
      </c>
    </row>
    <row r="107" spans="2:19" s="406" customFormat="1" ht="14.1" customHeight="1" outlineLevel="1" x14ac:dyDescent="0.15">
      <c r="B107" s="467">
        <v>9.1</v>
      </c>
      <c r="C107" s="673" t="s">
        <v>149</v>
      </c>
      <c r="D107" s="534"/>
      <c r="E107" s="470">
        <f>E106*20%</f>
        <v>1249.8</v>
      </c>
      <c r="F107" s="509">
        <f>F106*20%</f>
        <v>163.345346147583</v>
      </c>
      <c r="G107" s="472"/>
      <c r="H107" s="674"/>
      <c r="I107" s="577"/>
      <c r="J107" s="470">
        <f>J106*20%</f>
        <v>-1653.8674723981601</v>
      </c>
      <c r="K107" s="509">
        <f>K106*20%</f>
        <v>-216.15582874148399</v>
      </c>
      <c r="L107" s="736"/>
      <c r="M107" s="735"/>
      <c r="N107" s="748"/>
      <c r="O107" s="735"/>
      <c r="P107" s="749"/>
      <c r="Q107" s="784"/>
      <c r="R107" s="785">
        <f>R106*20%</f>
        <v>-1653.8674723981601</v>
      </c>
      <c r="S107" s="513">
        <f>S106*20%</f>
        <v>-216.15582874148399</v>
      </c>
    </row>
    <row r="108" spans="2:19" s="406" customFormat="1" ht="14.1" customHeight="1" outlineLevel="1" x14ac:dyDescent="0.15">
      <c r="B108" s="467">
        <v>9.1999999999999993</v>
      </c>
      <c r="C108" s="673" t="s">
        <v>150</v>
      </c>
      <c r="D108" s="534"/>
      <c r="E108" s="470">
        <f>E106*80%</f>
        <v>4999.2</v>
      </c>
      <c r="F108" s="509">
        <f>F106*80%</f>
        <v>653.38138459033098</v>
      </c>
      <c r="G108" s="472"/>
      <c r="H108" s="674"/>
      <c r="I108" s="577"/>
      <c r="J108" s="470">
        <f>J106*80%</f>
        <v>-6615.4698895926504</v>
      </c>
      <c r="K108" s="509">
        <f>K106*80%</f>
        <v>-864.62331496593504</v>
      </c>
      <c r="L108" s="736"/>
      <c r="M108" s="735"/>
      <c r="N108" s="748"/>
      <c r="O108" s="735"/>
      <c r="P108" s="749"/>
      <c r="Q108" s="784"/>
      <c r="R108" s="785">
        <f>R106*80%</f>
        <v>-6615.4698895926504</v>
      </c>
      <c r="S108" s="513">
        <f>S106*80%</f>
        <v>-864.62331496593504</v>
      </c>
    </row>
    <row r="109" spans="2:19" s="406" customFormat="1" ht="21" customHeight="1" x14ac:dyDescent="0.15">
      <c r="B109" s="675" t="s">
        <v>151</v>
      </c>
      <c r="C109" s="676"/>
      <c r="D109" s="677"/>
      <c r="E109" s="678"/>
      <c r="F109" s="679"/>
      <c r="G109" s="680">
        <f>G110+G112+G113+G114-G124-G131-G134</f>
        <v>-2481.3261090000001</v>
      </c>
      <c r="H109" s="679">
        <f t="shared" ref="H109" si="57">H110+H111+H112+H113+H114-H124-H134-H131</f>
        <v>0</v>
      </c>
      <c r="I109" s="677"/>
      <c r="J109" s="678">
        <f>J110+J111+J112+J113+J114-J124-J134-J131</f>
        <v>-8269.3373619908198</v>
      </c>
      <c r="K109" s="679"/>
      <c r="L109" s="699"/>
      <c r="M109" s="1413">
        <f>M110+M111+M112+M113+M114-M124-M131-M134</f>
        <v>-2382.8270157325501</v>
      </c>
      <c r="N109" s="1413">
        <f t="shared" ref="N109:P109" si="58">N110+N111+N112+N113+N114-N124-N134-N131</f>
        <v>0</v>
      </c>
      <c r="O109" s="1413">
        <f t="shared" si="58"/>
        <v>-2392.6818939999898</v>
      </c>
      <c r="P109" s="1414">
        <f t="shared" si="58"/>
        <v>0</v>
      </c>
      <c r="Q109" s="786"/>
      <c r="R109" s="678">
        <f>R110+R111+R112+R113+R114-R124-R134</f>
        <v>-8269.3373619908198</v>
      </c>
      <c r="S109" s="679">
        <f>S110+S111+S112+S113+S114-S124-S134</f>
        <v>0</v>
      </c>
    </row>
    <row r="110" spans="2:19" s="406" customFormat="1" ht="14.1" customHeight="1" x14ac:dyDescent="0.15">
      <c r="B110" s="467" t="s">
        <v>152</v>
      </c>
      <c r="C110" s="468" t="s">
        <v>152</v>
      </c>
      <c r="D110" s="534" t="s">
        <v>248</v>
      </c>
      <c r="E110" s="470">
        <f>E69</f>
        <v>6249</v>
      </c>
      <c r="F110" s="473">
        <f>E110</f>
        <v>6249</v>
      </c>
      <c r="G110" s="505">
        <v>646.02006600000004</v>
      </c>
      <c r="H110" s="514"/>
      <c r="I110" s="577"/>
      <c r="J110" s="470"/>
      <c r="K110" s="473"/>
      <c r="L110" s="750"/>
      <c r="M110" s="1415">
        <v>144.47045499999999</v>
      </c>
      <c r="N110" s="1416"/>
      <c r="O110" s="1415">
        <f>M110</f>
        <v>144.47045499999999</v>
      </c>
      <c r="P110" s="1417"/>
      <c r="Q110" s="787"/>
      <c r="R110" s="785"/>
      <c r="S110" s="487"/>
    </row>
    <row r="111" spans="2:19" s="406" customFormat="1" ht="14.1" customHeight="1" x14ac:dyDescent="0.15">
      <c r="B111" s="1347" t="s">
        <v>153</v>
      </c>
      <c r="C111" s="681" t="s">
        <v>154</v>
      </c>
      <c r="D111" s="534"/>
      <c r="E111" s="682"/>
      <c r="F111" s="473"/>
      <c r="G111" s="505">
        <v>100</v>
      </c>
      <c r="H111" s="514"/>
      <c r="I111" s="577"/>
      <c r="J111" s="590"/>
      <c r="K111" s="591"/>
      <c r="L111" s="592"/>
      <c r="M111" s="1415">
        <v>65.650266999999999</v>
      </c>
      <c r="N111" s="1416"/>
      <c r="O111" s="1415">
        <f>M111</f>
        <v>65.650266999999999</v>
      </c>
      <c r="P111" s="1417"/>
      <c r="Q111" s="787"/>
      <c r="R111" s="788"/>
      <c r="S111" s="789"/>
    </row>
    <row r="112" spans="2:19" s="406" customFormat="1" ht="14.1" customHeight="1" x14ac:dyDescent="0.15">
      <c r="B112" s="1348"/>
      <c r="C112" s="468" t="s">
        <v>155</v>
      </c>
      <c r="D112" s="534"/>
      <c r="E112" s="682"/>
      <c r="F112" s="473"/>
      <c r="G112" s="505">
        <v>40962.042765999999</v>
      </c>
      <c r="H112" s="514"/>
      <c r="I112" s="577"/>
      <c r="J112" s="590"/>
      <c r="K112" s="591"/>
      <c r="L112" s="592"/>
      <c r="M112" s="1415">
        <f>M38-M84-M86</f>
        <v>42723.712724267403</v>
      </c>
      <c r="N112" s="1416"/>
      <c r="O112" s="1415">
        <f>M38-O84-O86</f>
        <v>42848.857845999999</v>
      </c>
      <c r="P112" s="1417"/>
      <c r="Q112" s="787"/>
      <c r="R112" s="790"/>
      <c r="S112" s="789"/>
    </row>
    <row r="113" spans="2:19" s="406" customFormat="1" ht="14.1" customHeight="1" x14ac:dyDescent="0.15">
      <c r="B113" s="1349"/>
      <c r="C113" s="468" t="s">
        <v>156</v>
      </c>
      <c r="D113" s="534"/>
      <c r="E113" s="682"/>
      <c r="F113" s="473"/>
      <c r="G113" s="505">
        <v>0</v>
      </c>
      <c r="H113" s="514"/>
      <c r="I113" s="577"/>
      <c r="J113" s="590"/>
      <c r="K113" s="591"/>
      <c r="L113" s="592"/>
      <c r="M113" s="1415">
        <v>411.66665999999998</v>
      </c>
      <c r="N113" s="1416"/>
      <c r="O113" s="1415">
        <f>M113</f>
        <v>411.66665999999998</v>
      </c>
      <c r="P113" s="1417"/>
      <c r="Q113" s="787"/>
      <c r="R113" s="788"/>
      <c r="S113" s="789"/>
    </row>
    <row r="114" spans="2:19" s="406" customFormat="1" ht="14.1" customHeight="1" x14ac:dyDescent="0.15">
      <c r="B114" s="1350" t="s">
        <v>157</v>
      </c>
      <c r="C114" s="468" t="s">
        <v>158</v>
      </c>
      <c r="D114" s="534"/>
      <c r="E114" s="682"/>
      <c r="F114" s="473"/>
      <c r="G114" s="505">
        <f>G118+G119+G120+G121+G116+G117</f>
        <v>-1728.210732</v>
      </c>
      <c r="H114" s="514"/>
      <c r="I114" s="577"/>
      <c r="J114" s="593">
        <f>J115+J116-J117-J118-J119-J120-J121</f>
        <v>0</v>
      </c>
      <c r="K114" s="751">
        <f>K115+K116-K117-K118-K119-K120-K121</f>
        <v>0</v>
      </c>
      <c r="L114" s="750"/>
      <c r="M114" s="1415">
        <f>M118+M119+M120+M121+M116-M117</f>
        <v>-417.05110300000098</v>
      </c>
      <c r="N114" s="1416"/>
      <c r="O114" s="1415">
        <f>O118+O119+O120+O121+O116-O117</f>
        <v>-552.05110300000104</v>
      </c>
      <c r="P114" s="1417"/>
      <c r="Q114" s="787"/>
      <c r="R114" s="791"/>
      <c r="S114" s="792">
        <f t="shared" ref="S114" si="59">S115+S116-S117-S118-S119-S120-S121</f>
        <v>0</v>
      </c>
    </row>
    <row r="115" spans="2:19" s="406" customFormat="1" ht="14.1" customHeight="1" outlineLevel="1" x14ac:dyDescent="0.15">
      <c r="B115" s="1350"/>
      <c r="C115" s="468" t="s">
        <v>159</v>
      </c>
      <c r="D115" s="534"/>
      <c r="E115" s="682"/>
      <c r="F115" s="473"/>
      <c r="G115" s="505"/>
      <c r="H115" s="514"/>
      <c r="I115" s="577"/>
      <c r="J115" s="752"/>
      <c r="K115" s="591"/>
      <c r="L115" s="592"/>
      <c r="M115" s="1415">
        <v>0</v>
      </c>
      <c r="N115" s="1416"/>
      <c r="O115" s="1415">
        <f>M115</f>
        <v>0</v>
      </c>
      <c r="P115" s="1417"/>
      <c r="Q115" s="787"/>
      <c r="R115" s="790"/>
      <c r="S115" s="789"/>
    </row>
    <row r="116" spans="2:19" s="406" customFormat="1" ht="14.1" customHeight="1" outlineLevel="1" x14ac:dyDescent="0.15">
      <c r="B116" s="1350"/>
      <c r="C116" s="468" t="s">
        <v>160</v>
      </c>
      <c r="D116" s="534"/>
      <c r="E116" s="682"/>
      <c r="F116" s="473"/>
      <c r="G116" s="505">
        <v>315.25170000000003</v>
      </c>
      <c r="H116" s="514"/>
      <c r="I116" s="577"/>
      <c r="J116" s="590"/>
      <c r="K116" s="591"/>
      <c r="L116" s="592"/>
      <c r="M116" s="1415">
        <v>314.0693</v>
      </c>
      <c r="N116" s="1416"/>
      <c r="O116" s="1415">
        <f t="shared" ref="O116:O123" si="60">M116</f>
        <v>314.0693</v>
      </c>
      <c r="P116" s="1417"/>
      <c r="Q116" s="787"/>
      <c r="R116" s="788"/>
      <c r="S116" s="789"/>
    </row>
    <row r="117" spans="2:19" s="406" customFormat="1" ht="14.1" customHeight="1" outlineLevel="1" x14ac:dyDescent="0.15">
      <c r="B117" s="1350"/>
      <c r="C117" s="468" t="s">
        <v>161</v>
      </c>
      <c r="D117" s="534"/>
      <c r="E117" s="682"/>
      <c r="F117" s="473"/>
      <c r="G117" s="505">
        <v>-11.834861999999999</v>
      </c>
      <c r="H117" s="514"/>
      <c r="I117" s="577"/>
      <c r="J117" s="590"/>
      <c r="K117" s="591"/>
      <c r="L117" s="592"/>
      <c r="M117" s="1415">
        <v>-0.44826000000000499</v>
      </c>
      <c r="N117" s="1416"/>
      <c r="O117" s="1415">
        <f>M117+M80</f>
        <v>134.55174</v>
      </c>
      <c r="P117" s="1417"/>
      <c r="Q117" s="787"/>
      <c r="R117" s="790"/>
      <c r="S117" s="789"/>
    </row>
    <row r="118" spans="2:19" s="406" customFormat="1" ht="14.1" customHeight="1" outlineLevel="1" x14ac:dyDescent="0.15">
      <c r="B118" s="1350"/>
      <c r="C118" s="468" t="s">
        <v>162</v>
      </c>
      <c r="D118" s="534"/>
      <c r="E118" s="682"/>
      <c r="F118" s="473"/>
      <c r="G118" s="505">
        <v>-311.84555699999999</v>
      </c>
      <c r="H118" s="514"/>
      <c r="I118" s="577"/>
      <c r="J118" s="590"/>
      <c r="K118" s="591"/>
      <c r="L118" s="592"/>
      <c r="M118" s="1415">
        <v>-331.83295700000002</v>
      </c>
      <c r="N118" s="1416"/>
      <c r="O118" s="1415">
        <f t="shared" si="60"/>
        <v>-331.83295700000002</v>
      </c>
      <c r="P118" s="1417"/>
      <c r="Q118" s="787"/>
      <c r="R118" s="788"/>
      <c r="S118" s="789"/>
    </row>
    <row r="119" spans="2:19" s="406" customFormat="1" ht="14.1" customHeight="1" outlineLevel="1" x14ac:dyDescent="0.15">
      <c r="B119" s="1350"/>
      <c r="C119" s="468" t="s">
        <v>163</v>
      </c>
      <c r="D119" s="534"/>
      <c r="E119" s="682"/>
      <c r="F119" s="473"/>
      <c r="G119" s="505">
        <f>-(192.819388+1522.763343)</f>
        <v>-1715.582731</v>
      </c>
      <c r="H119" s="514"/>
      <c r="I119" s="577"/>
      <c r="J119" s="590"/>
      <c r="K119" s="591"/>
      <c r="L119" s="592"/>
      <c r="M119" s="1415">
        <f>-(108.826003+274.482425000001)</f>
        <v>-383.30842800000102</v>
      </c>
      <c r="N119" s="1416"/>
      <c r="O119" s="1415">
        <f t="shared" si="60"/>
        <v>-383.30842800000102</v>
      </c>
      <c r="P119" s="1417"/>
      <c r="Q119" s="787"/>
      <c r="R119" s="788"/>
      <c r="S119" s="789"/>
    </row>
    <row r="120" spans="2:19" s="406" customFormat="1" ht="14.1" customHeight="1" outlineLevel="1" x14ac:dyDescent="0.15">
      <c r="B120" s="1350"/>
      <c r="C120" s="468" t="s">
        <v>164</v>
      </c>
      <c r="D120" s="534"/>
      <c r="E120" s="682"/>
      <c r="F120" s="473"/>
      <c r="G120" s="505">
        <v>-0.739281999999999</v>
      </c>
      <c r="H120" s="514"/>
      <c r="I120" s="577"/>
      <c r="J120" s="590"/>
      <c r="K120" s="591"/>
      <c r="L120" s="592"/>
      <c r="M120" s="1415">
        <v>-5.8472779999999904</v>
      </c>
      <c r="N120" s="1416"/>
      <c r="O120" s="1415">
        <f t="shared" si="60"/>
        <v>-5.8472779999999904</v>
      </c>
      <c r="P120" s="1417"/>
      <c r="Q120" s="787"/>
      <c r="R120" s="788"/>
      <c r="S120" s="789"/>
    </row>
    <row r="121" spans="2:19" s="406" customFormat="1" ht="14.1" customHeight="1" outlineLevel="1" x14ac:dyDescent="0.15">
      <c r="B121" s="1350"/>
      <c r="C121" s="468" t="s">
        <v>165</v>
      </c>
      <c r="D121" s="534"/>
      <c r="E121" s="682"/>
      <c r="F121" s="473"/>
      <c r="G121" s="505">
        <f>G122+G123</f>
        <v>-3.46</v>
      </c>
      <c r="H121" s="514"/>
      <c r="I121" s="577"/>
      <c r="J121" s="590"/>
      <c r="K121" s="591"/>
      <c r="L121" s="592"/>
      <c r="M121" s="1415">
        <f>M122+M123</f>
        <v>-10.58</v>
      </c>
      <c r="N121" s="1416"/>
      <c r="O121" s="1415">
        <f t="shared" si="60"/>
        <v>-10.58</v>
      </c>
      <c r="P121" s="1417"/>
      <c r="Q121" s="787"/>
      <c r="R121" s="788"/>
      <c r="S121" s="789"/>
    </row>
    <row r="122" spans="2:19" s="406" customFormat="1" ht="14.1" customHeight="1" outlineLevel="1" x14ac:dyDescent="0.15">
      <c r="B122" s="1350"/>
      <c r="C122" s="468" t="s">
        <v>166</v>
      </c>
      <c r="D122" s="534"/>
      <c r="E122" s="682"/>
      <c r="F122" s="473"/>
      <c r="G122" s="505">
        <v>-4</v>
      </c>
      <c r="H122" s="514"/>
      <c r="I122" s="577"/>
      <c r="J122" s="590"/>
      <c r="K122" s="591"/>
      <c r="L122" s="592"/>
      <c r="M122" s="1415">
        <v>-11</v>
      </c>
      <c r="N122" s="1416"/>
      <c r="O122" s="1415">
        <f t="shared" si="60"/>
        <v>-11</v>
      </c>
      <c r="P122" s="1417"/>
      <c r="Q122" s="787"/>
      <c r="R122" s="788"/>
      <c r="S122" s="789"/>
    </row>
    <row r="123" spans="2:19" s="406" customFormat="1" ht="14.1" customHeight="1" outlineLevel="1" x14ac:dyDescent="0.15">
      <c r="B123" s="1350"/>
      <c r="C123" s="468" t="s">
        <v>167</v>
      </c>
      <c r="D123" s="534"/>
      <c r="E123" s="682"/>
      <c r="F123" s="473"/>
      <c r="G123" s="505">
        <v>0.54</v>
      </c>
      <c r="H123" s="514"/>
      <c r="I123" s="577"/>
      <c r="J123" s="590"/>
      <c r="K123" s="591"/>
      <c r="L123" s="592"/>
      <c r="M123" s="1415">
        <v>0.42</v>
      </c>
      <c r="N123" s="1416"/>
      <c r="O123" s="1415">
        <f t="shared" si="60"/>
        <v>0.42</v>
      </c>
      <c r="P123" s="1417"/>
      <c r="Q123" s="787"/>
      <c r="R123" s="788"/>
      <c r="S123" s="789"/>
    </row>
    <row r="124" spans="2:19" s="406" customFormat="1" ht="14.1" customHeight="1" x14ac:dyDescent="0.15">
      <c r="B124" s="1347" t="s">
        <v>168</v>
      </c>
      <c r="C124" s="468" t="s">
        <v>169</v>
      </c>
      <c r="D124" s="534"/>
      <c r="E124" s="683"/>
      <c r="F124" s="684"/>
      <c r="G124" s="685">
        <f>G125+G128</f>
        <v>7986.0850570000002</v>
      </c>
      <c r="H124" s="514"/>
      <c r="I124" s="577"/>
      <c r="J124" s="753">
        <f>J125+J128</f>
        <v>8269.3373619908198</v>
      </c>
      <c r="K124" s="514"/>
      <c r="L124" s="754"/>
      <c r="M124" s="1415">
        <f>M125+M128</f>
        <v>12747.100345000001</v>
      </c>
      <c r="N124" s="1416"/>
      <c r="O124" s="1415">
        <f>O125+O128</f>
        <v>12747.100345000001</v>
      </c>
      <c r="P124" s="1417"/>
      <c r="Q124" s="787"/>
      <c r="R124" s="637">
        <f>R125+R128</f>
        <v>8269.3373619908198</v>
      </c>
      <c r="S124" s="514"/>
    </row>
    <row r="125" spans="2:19" s="406" customFormat="1" ht="13.9" customHeight="1" outlineLevel="1" x14ac:dyDescent="0.15">
      <c r="B125" s="1348"/>
      <c r="C125" s="468" t="s">
        <v>170</v>
      </c>
      <c r="D125" s="534"/>
      <c r="E125" s="686"/>
      <c r="F125" s="687"/>
      <c r="G125" s="685">
        <f>G126</f>
        <v>1986.085057</v>
      </c>
      <c r="H125" s="514"/>
      <c r="I125" s="577"/>
      <c r="J125" s="753">
        <f>J126</f>
        <v>8269.3373619908198</v>
      </c>
      <c r="K125" s="514"/>
      <c r="L125" s="754"/>
      <c r="M125" s="1415">
        <f>M126</f>
        <v>6748.8429649999998</v>
      </c>
      <c r="N125" s="1416"/>
      <c r="O125" s="1415">
        <f>O126</f>
        <v>6748.8429649999998</v>
      </c>
      <c r="P125" s="1417"/>
      <c r="Q125" s="787"/>
      <c r="R125" s="637">
        <f>R126</f>
        <v>8269.3373619908198</v>
      </c>
      <c r="S125" s="514"/>
    </row>
    <row r="126" spans="2:19" s="406" customFormat="1" ht="13.9" customHeight="1" outlineLevel="2" x14ac:dyDescent="0.15">
      <c r="B126" s="1348"/>
      <c r="C126" s="468" t="s">
        <v>171</v>
      </c>
      <c r="D126" s="534"/>
      <c r="E126" s="683"/>
      <c r="F126" s="684"/>
      <c r="G126" s="688">
        <v>1986.085057</v>
      </c>
      <c r="H126" s="514"/>
      <c r="I126" s="577" t="s">
        <v>249</v>
      </c>
      <c r="J126" s="752">
        <f>-J106</f>
        <v>8269.3373619908198</v>
      </c>
      <c r="K126" s="755"/>
      <c r="L126" s="756"/>
      <c r="M126" s="1415">
        <v>6748.8429649999998</v>
      </c>
      <c r="N126" s="1416"/>
      <c r="O126" s="1415">
        <f>M126</f>
        <v>6748.8429649999998</v>
      </c>
      <c r="P126" s="1417"/>
      <c r="Q126" s="787"/>
      <c r="R126" s="790">
        <f>-R106</f>
        <v>8269.3373619908198</v>
      </c>
      <c r="S126" s="793"/>
    </row>
    <row r="127" spans="2:19" s="406" customFormat="1" ht="14.1" customHeight="1" outlineLevel="2" x14ac:dyDescent="0.15">
      <c r="B127" s="1348"/>
      <c r="C127" s="468" t="s">
        <v>172</v>
      </c>
      <c r="D127" s="534"/>
      <c r="E127" s="683"/>
      <c r="F127" s="684"/>
      <c r="G127" s="688">
        <v>0</v>
      </c>
      <c r="H127" s="514"/>
      <c r="I127" s="577"/>
      <c r="J127" s="590"/>
      <c r="K127" s="591"/>
      <c r="L127" s="592"/>
      <c r="M127" s="1415" t="e">
        <f>[1]海景嘉福!Q151</f>
        <v>#REF!</v>
      </c>
      <c r="N127" s="1416"/>
      <c r="O127" s="1415" t="e">
        <f>M127</f>
        <v>#REF!</v>
      </c>
      <c r="P127" s="1417"/>
      <c r="Q127" s="787"/>
      <c r="R127" s="788"/>
      <c r="S127" s="789"/>
    </row>
    <row r="128" spans="2:19" s="406" customFormat="1" ht="14.1" customHeight="1" outlineLevel="1" x14ac:dyDescent="0.15">
      <c r="B128" s="1348"/>
      <c r="C128" s="468" t="s">
        <v>108</v>
      </c>
      <c r="D128" s="534"/>
      <c r="E128" s="686"/>
      <c r="F128" s="687"/>
      <c r="G128" s="685">
        <f>G129</f>
        <v>6000</v>
      </c>
      <c r="H128" s="514"/>
      <c r="I128" s="577"/>
      <c r="J128" s="590"/>
      <c r="K128" s="591"/>
      <c r="L128" s="592"/>
      <c r="M128" s="1415">
        <f>M129+M130</f>
        <v>5998.25738</v>
      </c>
      <c r="N128" s="1416"/>
      <c r="O128" s="1415">
        <f>O129+O130</f>
        <v>5998.25738</v>
      </c>
      <c r="P128" s="1417"/>
      <c r="Q128" s="787"/>
      <c r="R128" s="788"/>
      <c r="S128" s="789"/>
    </row>
    <row r="129" spans="2:21" s="406" customFormat="1" ht="14.1" customHeight="1" outlineLevel="2" x14ac:dyDescent="0.15">
      <c r="B129" s="1348"/>
      <c r="C129" s="468" t="s">
        <v>173</v>
      </c>
      <c r="D129" s="534"/>
      <c r="E129" s="683"/>
      <c r="F129" s="684"/>
      <c r="G129" s="685">
        <v>6000</v>
      </c>
      <c r="H129" s="514"/>
      <c r="I129" s="577"/>
      <c r="J129" s="590"/>
      <c r="K129" s="591"/>
      <c r="L129" s="592"/>
      <c r="M129" s="1415">
        <f>G129</f>
        <v>6000</v>
      </c>
      <c r="N129" s="1416"/>
      <c r="O129" s="1415">
        <f>M129</f>
        <v>6000</v>
      </c>
      <c r="P129" s="1417"/>
      <c r="Q129" s="787"/>
      <c r="R129" s="788"/>
      <c r="S129" s="789"/>
    </row>
    <row r="130" spans="2:21" s="406" customFormat="1" ht="14.1" customHeight="1" outlineLevel="2" x14ac:dyDescent="0.15">
      <c r="B130" s="1349"/>
      <c r="C130" s="468" t="s">
        <v>174</v>
      </c>
      <c r="D130" s="534"/>
      <c r="E130" s="683"/>
      <c r="F130" s="684"/>
      <c r="G130" s="685">
        <v>0</v>
      </c>
      <c r="H130" s="514"/>
      <c r="I130" s="577"/>
      <c r="J130" s="590"/>
      <c r="K130" s="591"/>
      <c r="L130" s="592"/>
      <c r="M130" s="1415">
        <v>-1.7426199999999901</v>
      </c>
      <c r="N130" s="1416"/>
      <c r="O130" s="1415">
        <f>M130</f>
        <v>-1.7426199999999901</v>
      </c>
      <c r="P130" s="1417"/>
      <c r="Q130" s="787"/>
      <c r="R130" s="788"/>
      <c r="S130" s="789"/>
    </row>
    <row r="131" spans="2:21" s="406" customFormat="1" ht="14.1" customHeight="1" outlineLevel="1" x14ac:dyDescent="0.15">
      <c r="B131" s="1347" t="s">
        <v>175</v>
      </c>
      <c r="C131" s="468" t="s">
        <v>109</v>
      </c>
      <c r="D131" s="534"/>
      <c r="E131" s="686"/>
      <c r="F131" s="687"/>
      <c r="G131" s="685">
        <f>(-(G132-G133))*-1</f>
        <v>34400</v>
      </c>
      <c r="H131" s="514"/>
      <c r="I131" s="577"/>
      <c r="J131" s="590"/>
      <c r="K131" s="591"/>
      <c r="L131" s="592"/>
      <c r="M131" s="1415">
        <f>(M132-M133)</f>
        <v>32600</v>
      </c>
      <c r="N131" s="1416"/>
      <c r="O131" s="1415">
        <f>O132-O133</f>
        <v>32600</v>
      </c>
      <c r="P131" s="1417"/>
      <c r="Q131" s="787"/>
      <c r="R131" s="788"/>
      <c r="S131" s="789"/>
    </row>
    <row r="132" spans="2:21" s="406" customFormat="1" ht="14.1" customHeight="1" outlineLevel="2" x14ac:dyDescent="0.15">
      <c r="B132" s="1348"/>
      <c r="C132" s="468" t="s">
        <v>110</v>
      </c>
      <c r="D132" s="534"/>
      <c r="E132" s="683"/>
      <c r="F132" s="684"/>
      <c r="G132" s="685">
        <v>35000</v>
      </c>
      <c r="H132" s="514"/>
      <c r="I132" s="577"/>
      <c r="J132" s="590"/>
      <c r="K132" s="591"/>
      <c r="L132" s="592"/>
      <c r="M132" s="1415">
        <f>G132</f>
        <v>35000</v>
      </c>
      <c r="N132" s="1416"/>
      <c r="O132" s="1415">
        <f>M132</f>
        <v>35000</v>
      </c>
      <c r="P132" s="1417"/>
      <c r="Q132" s="787"/>
      <c r="R132" s="788"/>
      <c r="S132" s="789"/>
    </row>
    <row r="133" spans="2:21" s="406" customFormat="1" ht="14.1" customHeight="1" outlineLevel="2" x14ac:dyDescent="0.15">
      <c r="B133" s="1349"/>
      <c r="C133" s="468" t="s">
        <v>111</v>
      </c>
      <c r="D133" s="534"/>
      <c r="E133" s="683"/>
      <c r="F133" s="684"/>
      <c r="G133" s="685">
        <v>600</v>
      </c>
      <c r="H133" s="514"/>
      <c r="I133" s="577"/>
      <c r="J133" s="590"/>
      <c r="K133" s="591"/>
      <c r="L133" s="592"/>
      <c r="M133" s="1415">
        <v>2400</v>
      </c>
      <c r="N133" s="1416"/>
      <c r="O133" s="1415">
        <f>M133</f>
        <v>2400</v>
      </c>
      <c r="P133" s="1417"/>
      <c r="Q133" s="787"/>
      <c r="R133" s="788"/>
      <c r="S133" s="789"/>
    </row>
    <row r="134" spans="2:21" s="406" customFormat="1" ht="14.1" customHeight="1" x14ac:dyDescent="0.15">
      <c r="B134" s="467" t="s">
        <v>176</v>
      </c>
      <c r="C134" s="468" t="s">
        <v>177</v>
      </c>
      <c r="D134" s="534"/>
      <c r="E134" s="683"/>
      <c r="F134" s="684"/>
      <c r="G134" s="685">
        <v>-24.906848</v>
      </c>
      <c r="H134" s="514"/>
      <c r="I134" s="577"/>
      <c r="J134" s="590"/>
      <c r="K134" s="591"/>
      <c r="L134" s="592"/>
      <c r="M134" s="1415">
        <v>-35.824325999999999</v>
      </c>
      <c r="N134" s="1416"/>
      <c r="O134" s="1415">
        <f>M134</f>
        <v>-35.824325999999999</v>
      </c>
      <c r="P134" s="1417"/>
      <c r="Q134" s="787"/>
      <c r="R134" s="788"/>
      <c r="S134" s="789"/>
    </row>
    <row r="135" spans="2:21" s="408" customFormat="1" ht="17.100000000000001" customHeight="1" x14ac:dyDescent="0.15">
      <c r="B135" s="1368" t="s">
        <v>178</v>
      </c>
      <c r="C135" s="1369"/>
      <c r="D135" s="455"/>
      <c r="E135" s="794"/>
      <c r="F135" s="795"/>
      <c r="G135" s="796">
        <f>G110+G112+G113+G111</f>
        <v>41708.062832000003</v>
      </c>
      <c r="H135" s="797">
        <f>H110+H112+H113+H111</f>
        <v>0</v>
      </c>
      <c r="I135" s="554"/>
      <c r="J135" s="794"/>
      <c r="K135" s="795"/>
      <c r="L135" s="833"/>
      <c r="M135" s="1418">
        <f>M110+M112+M113+M111</f>
        <v>43345.500106267398</v>
      </c>
      <c r="N135" s="1419"/>
      <c r="O135" s="1418">
        <f>O110+O112+O113+O111</f>
        <v>43470.645228000001</v>
      </c>
      <c r="P135" s="1420"/>
      <c r="Q135" s="855"/>
      <c r="R135" s="609"/>
      <c r="S135" s="610"/>
    </row>
    <row r="136" spans="2:21" s="408" customFormat="1" ht="17.100000000000001" customHeight="1" x14ac:dyDescent="0.15">
      <c r="B136" s="1368" t="s">
        <v>179</v>
      </c>
      <c r="C136" s="1369"/>
      <c r="D136" s="455"/>
      <c r="E136" s="794"/>
      <c r="F136" s="795"/>
      <c r="G136" s="796">
        <f>-G114+G131+G125</f>
        <v>38114.295789000003</v>
      </c>
      <c r="H136" s="797">
        <f>-H114+H131+H125</f>
        <v>0</v>
      </c>
      <c r="I136" s="554"/>
      <c r="J136" s="794"/>
      <c r="K136" s="795"/>
      <c r="L136" s="833"/>
      <c r="M136" s="1418">
        <f>-M114+M131+M125</f>
        <v>39765.894068000001</v>
      </c>
      <c r="N136" s="1419">
        <f t="shared" ref="N136:P136" si="61">-N114+N131+N125</f>
        <v>0</v>
      </c>
      <c r="O136" s="1418">
        <f t="shared" si="61"/>
        <v>39900.894068000001</v>
      </c>
      <c r="P136" s="1420">
        <f t="shared" si="61"/>
        <v>0</v>
      </c>
      <c r="Q136" s="855"/>
      <c r="R136" s="609"/>
      <c r="S136" s="610"/>
    </row>
    <row r="137" spans="2:21" s="408" customFormat="1" ht="17.100000000000001" customHeight="1" x14ac:dyDescent="0.15">
      <c r="B137" s="1368" t="s">
        <v>180</v>
      </c>
      <c r="C137" s="1369"/>
      <c r="D137" s="455"/>
      <c r="E137" s="794"/>
      <c r="F137" s="795"/>
      <c r="G137" s="798">
        <f>G136/G135*100%</f>
        <v>0.91383519638695099</v>
      </c>
      <c r="H137" s="799"/>
      <c r="I137" s="554"/>
      <c r="J137" s="794"/>
      <c r="K137" s="795"/>
      <c r="L137" s="833"/>
      <c r="M137" s="1421">
        <f>M136/M135*100%</f>
        <v>0.91741689380693403</v>
      </c>
      <c r="N137" s="1422"/>
      <c r="O137" s="1421">
        <f>O136/O135*100%</f>
        <v>0.91788133943545203</v>
      </c>
      <c r="P137" s="1423"/>
      <c r="Q137" s="855"/>
      <c r="R137" s="609"/>
      <c r="S137" s="610"/>
    </row>
    <row r="138" spans="2:21" s="406" customFormat="1" ht="23.65" customHeight="1" x14ac:dyDescent="0.15">
      <c r="B138" s="800" t="s">
        <v>250</v>
      </c>
      <c r="C138" s="801"/>
      <c r="D138" s="677"/>
      <c r="E138" s="678"/>
      <c r="F138" s="679"/>
      <c r="G138" s="680"/>
      <c r="H138" s="679"/>
      <c r="I138" s="677"/>
      <c r="J138" s="834"/>
      <c r="K138" s="835"/>
      <c r="L138" s="699"/>
      <c r="M138" s="700"/>
      <c r="N138" s="700"/>
      <c r="O138" s="553"/>
      <c r="P138" s="553"/>
      <c r="Q138" s="856"/>
      <c r="R138" s="857"/>
      <c r="S138" s="858"/>
      <c r="T138" s="1424" t="s">
        <v>251</v>
      </c>
      <c r="U138" s="1425"/>
    </row>
    <row r="139" spans="2:21" s="406" customFormat="1" ht="21" customHeight="1" x14ac:dyDescent="0.15">
      <c r="B139" s="1426" t="s">
        <v>252</v>
      </c>
      <c r="C139" s="1427"/>
      <c r="D139" s="802" t="s">
        <v>35</v>
      </c>
      <c r="E139" s="803" t="s">
        <v>253</v>
      </c>
      <c r="F139" s="804" t="s">
        <v>37</v>
      </c>
      <c r="G139" s="805" t="s">
        <v>253</v>
      </c>
      <c r="H139" s="804" t="s">
        <v>37</v>
      </c>
      <c r="I139" s="836" t="s">
        <v>21</v>
      </c>
      <c r="J139" s="837" t="s">
        <v>253</v>
      </c>
      <c r="K139" s="838" t="s">
        <v>37</v>
      </c>
      <c r="L139" s="839" t="s">
        <v>21</v>
      </c>
      <c r="M139" s="1428" t="s">
        <v>253</v>
      </c>
      <c r="N139" s="1429"/>
      <c r="O139" s="1428" t="s">
        <v>37</v>
      </c>
      <c r="P139" s="1430"/>
      <c r="Q139" s="859" t="s">
        <v>21</v>
      </c>
      <c r="R139" s="860" t="s">
        <v>254</v>
      </c>
      <c r="S139" s="861" t="s">
        <v>37</v>
      </c>
      <c r="T139" s="860" t="s">
        <v>255</v>
      </c>
      <c r="U139" s="861" t="s">
        <v>37</v>
      </c>
    </row>
    <row r="140" spans="2:21" s="406" customFormat="1" ht="14.1" customHeight="1" outlineLevel="1" x14ac:dyDescent="0.15">
      <c r="B140" s="467">
        <v>1</v>
      </c>
      <c r="C140" s="468" t="s">
        <v>139</v>
      </c>
      <c r="D140" s="534"/>
      <c r="E140" s="806">
        <f>E47</f>
        <v>2695</v>
      </c>
      <c r="F140" s="473">
        <f>E140/F$29*10000</f>
        <v>352.228922921856</v>
      </c>
      <c r="G140" s="807">
        <f>G47</f>
        <v>297.02970297029702</v>
      </c>
      <c r="H140" s="510">
        <f>G140/F$29*10000</f>
        <v>38.8209470697686</v>
      </c>
      <c r="I140" s="840"/>
      <c r="J140" s="561">
        <f>J47</f>
        <v>297.02970297029702</v>
      </c>
      <c r="K140" s="751">
        <f t="shared" ref="K140:K145" si="62">J140/$F$29*10000</f>
        <v>38.8209470697686</v>
      </c>
      <c r="L140" s="750"/>
      <c r="M140" s="1431">
        <f>M47</f>
        <v>297.02970297029702</v>
      </c>
      <c r="N140" s="1432"/>
      <c r="O140" s="1431">
        <f>M140/$F$29*10000</f>
        <v>38.8209470697686</v>
      </c>
      <c r="P140" s="1433"/>
      <c r="Q140" s="862"/>
      <c r="R140" s="615">
        <f>R95</f>
        <v>297.02970297029702</v>
      </c>
      <c r="S140" s="863">
        <f>R140/$F$29</f>
        <v>3.8820947069768599E-3</v>
      </c>
      <c r="T140" s="615">
        <f>R140</f>
        <v>297.02970297029702</v>
      </c>
      <c r="U140" s="863">
        <f>T140/$F$29</f>
        <v>3.8820947069768599E-3</v>
      </c>
    </row>
    <row r="141" spans="2:21" s="406" customFormat="1" ht="14.1" customHeight="1" outlineLevel="1" x14ac:dyDescent="0.15">
      <c r="B141" s="467">
        <v>2</v>
      </c>
      <c r="C141" s="468" t="s">
        <v>256</v>
      </c>
      <c r="D141" s="534"/>
      <c r="E141" s="806">
        <f>E51</f>
        <v>1153</v>
      </c>
      <c r="F141" s="473">
        <f>E141/F$29*10000</f>
        <v>150.693858303859</v>
      </c>
      <c r="G141" s="808"/>
      <c r="H141" s="510">
        <f>G141/F$29*10000</f>
        <v>0</v>
      </c>
      <c r="I141" s="840"/>
      <c r="J141" s="593">
        <f>J51</f>
        <v>0</v>
      </c>
      <c r="K141" s="751">
        <f t="shared" si="62"/>
        <v>0</v>
      </c>
      <c r="L141" s="750"/>
      <c r="M141" s="1431"/>
      <c r="N141" s="1432"/>
      <c r="O141" s="1431">
        <f>M141/$F$29*10000</f>
        <v>0</v>
      </c>
      <c r="P141" s="1433"/>
      <c r="Q141" s="862"/>
      <c r="R141" s="615"/>
      <c r="S141" s="863">
        <f>R141/$F$29</f>
        <v>0</v>
      </c>
      <c r="T141" s="615"/>
      <c r="U141" s="863">
        <f>T141/$F$29</f>
        <v>0</v>
      </c>
    </row>
    <row r="142" spans="2:21" s="406" customFormat="1" ht="14.1" customHeight="1" outlineLevel="1" x14ac:dyDescent="0.15">
      <c r="B142" s="467">
        <v>3</v>
      </c>
      <c r="C142" s="468" t="s">
        <v>193</v>
      </c>
      <c r="D142" s="534"/>
      <c r="E142" s="806">
        <f>E107</f>
        <v>1249.8</v>
      </c>
      <c r="F142" s="473">
        <f>E142/F$29*10000</f>
        <v>163.345346147583</v>
      </c>
      <c r="G142" s="808"/>
      <c r="H142" s="510">
        <f>G142/F$29*10000</f>
        <v>0</v>
      </c>
      <c r="I142" s="840"/>
      <c r="J142" s="615">
        <f>J106*100%</f>
        <v>-8269.3373619908198</v>
      </c>
      <c r="K142" s="751">
        <f t="shared" si="62"/>
        <v>-1080.77914370742</v>
      </c>
      <c r="L142" s="750"/>
      <c r="M142" s="1431"/>
      <c r="N142" s="1432"/>
      <c r="O142" s="1431">
        <f>M142/$F$29*10000</f>
        <v>0</v>
      </c>
      <c r="P142" s="1433"/>
      <c r="Q142" s="862"/>
      <c r="R142" s="615">
        <f>R106*100%</f>
        <v>-8269.3373619908198</v>
      </c>
      <c r="S142" s="863">
        <f>R142/$F$29</f>
        <v>-0.108077914370742</v>
      </c>
      <c r="T142" s="615">
        <f>R142*51%</f>
        <v>-4217.3620546153197</v>
      </c>
      <c r="U142" s="863">
        <f>T142/$F$29</f>
        <v>-5.5119736329078198E-2</v>
      </c>
    </row>
    <row r="143" spans="2:21" s="406" customFormat="1" ht="14.1" customHeight="1" x14ac:dyDescent="0.15">
      <c r="B143" s="467" t="s">
        <v>40</v>
      </c>
      <c r="C143" s="468" t="s">
        <v>257</v>
      </c>
      <c r="D143" s="534"/>
      <c r="E143" s="806">
        <f>E140+E141+E142</f>
        <v>5097.8</v>
      </c>
      <c r="F143" s="473">
        <f>E143/F$29*10000</f>
        <v>666.26812737329794</v>
      </c>
      <c r="G143" s="472">
        <f>G140+G141+G142</f>
        <v>297.02970297029702</v>
      </c>
      <c r="H143" s="510">
        <f>G143/F$29*10000</f>
        <v>38.8209470697686</v>
      </c>
      <c r="I143" s="840"/>
      <c r="J143" s="841">
        <f>SUM(J140:J142)</f>
        <v>-7972.3076590205201</v>
      </c>
      <c r="K143" s="751">
        <f t="shared" si="62"/>
        <v>-1041.95819663765</v>
      </c>
      <c r="L143" s="750"/>
      <c r="M143" s="1415">
        <f>M140+M141+M142</f>
        <v>297.02970297029702</v>
      </c>
      <c r="N143" s="1416"/>
      <c r="O143" s="1415">
        <f>M143/$F$29*10000</f>
        <v>38.8209470697686</v>
      </c>
      <c r="P143" s="1417"/>
      <c r="Q143" s="862"/>
      <c r="R143" s="864">
        <f>R142+R141+R140</f>
        <v>-7972.3076590205201</v>
      </c>
      <c r="S143" s="863">
        <f>R143/$F$29</f>
        <v>-0.104195819663765</v>
      </c>
      <c r="T143" s="864">
        <f>T142+T141+T140</f>
        <v>-3920.33235164502</v>
      </c>
      <c r="U143" s="863">
        <f>T143/$F$29</f>
        <v>-5.1237641622101399E-2</v>
      </c>
    </row>
    <row r="144" spans="2:21" s="406" customFormat="1" ht="14.1" customHeight="1" x14ac:dyDescent="0.15">
      <c r="B144" s="467" t="s">
        <v>45</v>
      </c>
      <c r="C144" s="468" t="s">
        <v>258</v>
      </c>
      <c r="D144" s="534"/>
      <c r="E144" s="806">
        <v>6000</v>
      </c>
      <c r="F144" s="473">
        <f>E144/F$29*10000</f>
        <v>784.18313080932705</v>
      </c>
      <c r="G144" s="808">
        <f>G126+G129</f>
        <v>7986.0850570000002</v>
      </c>
      <c r="H144" s="510">
        <f>G144/F$29*10000</f>
        <v>1043.75886381797</v>
      </c>
      <c r="I144" s="840"/>
      <c r="J144" s="572">
        <f>J126</f>
        <v>8269.3373619908198</v>
      </c>
      <c r="K144" s="751">
        <f t="shared" si="62"/>
        <v>1080.77914370742</v>
      </c>
      <c r="L144" s="750"/>
      <c r="M144" s="1415">
        <f>M129+M126</f>
        <v>12748.842965</v>
      </c>
      <c r="N144" s="1416"/>
      <c r="O144" s="1415">
        <f>M144/$F$29*10000</f>
        <v>1666.2379317483601</v>
      </c>
      <c r="P144" s="1417"/>
      <c r="Q144" s="862"/>
      <c r="R144" s="615">
        <f>M144</f>
        <v>12748.842965</v>
      </c>
      <c r="S144" s="863">
        <f>R144/$F$29</f>
        <v>0.166623793174836</v>
      </c>
      <c r="T144" s="615">
        <f>R144</f>
        <v>12748.842965</v>
      </c>
      <c r="U144" s="863">
        <f>T144/$F$29</f>
        <v>0.166623793174836</v>
      </c>
    </row>
    <row r="145" spans="2:21" s="406" customFormat="1" ht="14.1" customHeight="1" outlineLevel="1" x14ac:dyDescent="0.15">
      <c r="B145" s="467">
        <v>2.1</v>
      </c>
      <c r="C145" s="468" t="s">
        <v>259</v>
      </c>
      <c r="D145" s="534"/>
      <c r="E145" s="806"/>
      <c r="F145" s="473"/>
      <c r="G145" s="808">
        <v>6000</v>
      </c>
      <c r="H145" s="510"/>
      <c r="I145" s="840"/>
      <c r="J145" s="572">
        <f t="shared" ref="J145:M145" si="63">6000</f>
        <v>6000</v>
      </c>
      <c r="K145" s="751">
        <f t="shared" si="62"/>
        <v>784.18313080932705</v>
      </c>
      <c r="L145" s="750"/>
      <c r="M145" s="1434">
        <f t="shared" si="63"/>
        <v>6000</v>
      </c>
      <c r="N145" s="1435"/>
      <c r="O145" s="1415"/>
      <c r="P145" s="1417"/>
      <c r="Q145" s="862"/>
      <c r="R145" s="572">
        <f>6000</f>
        <v>6000</v>
      </c>
      <c r="S145" s="863">
        <f t="shared" ref="S145:S146" si="64">R145/$F$29</f>
        <v>7.8418313080932694E-2</v>
      </c>
      <c r="T145" s="572">
        <f>6000</f>
        <v>6000</v>
      </c>
      <c r="U145" s="863"/>
    </row>
    <row r="146" spans="2:21" s="406" customFormat="1" ht="14.1" customHeight="1" outlineLevel="1" x14ac:dyDescent="0.15">
      <c r="B146" s="467">
        <v>2.2000000000000002</v>
      </c>
      <c r="C146" s="468" t="s">
        <v>260</v>
      </c>
      <c r="D146" s="534"/>
      <c r="E146" s="806"/>
      <c r="F146" s="473"/>
      <c r="G146" s="808">
        <v>1986</v>
      </c>
      <c r="H146" s="510"/>
      <c r="I146" s="840"/>
      <c r="J146" s="572">
        <f>J144-J145</f>
        <v>2269.3373619908202</v>
      </c>
      <c r="K146" s="751"/>
      <c r="L146" s="750"/>
      <c r="M146" s="1415">
        <f>M144-M145</f>
        <v>6748.8429649999998</v>
      </c>
      <c r="N146" s="1416"/>
      <c r="O146" s="1415"/>
      <c r="P146" s="1417"/>
      <c r="Q146" s="862"/>
      <c r="R146" s="615">
        <f>R144-R145</f>
        <v>6748.8429649999998</v>
      </c>
      <c r="S146" s="863">
        <f t="shared" si="64"/>
        <v>8.8205480093903305E-2</v>
      </c>
      <c r="T146" s="615">
        <f>T144-T145</f>
        <v>6748.8429649999998</v>
      </c>
      <c r="U146" s="863"/>
    </row>
    <row r="147" spans="2:21" s="413" customFormat="1" ht="14.1" customHeight="1" x14ac:dyDescent="0.15">
      <c r="B147" s="809" t="s">
        <v>83</v>
      </c>
      <c r="C147" s="810" t="s">
        <v>261</v>
      </c>
      <c r="D147" s="534"/>
      <c r="E147" s="811">
        <f>E143/E144</f>
        <v>0.84963333333333302</v>
      </c>
      <c r="F147" s="812">
        <f>F143/F144</f>
        <v>0.84963333333333302</v>
      </c>
      <c r="G147" s="808"/>
      <c r="H147" s="473"/>
      <c r="I147" s="840"/>
      <c r="J147" s="842"/>
      <c r="K147" s="751">
        <f t="shared" ref="K147:K152" si="65">J147/$F$29*10000</f>
        <v>0</v>
      </c>
      <c r="L147" s="750"/>
      <c r="M147" s="1415">
        <f>M143/M144</f>
        <v>2.3298561586000101E-2</v>
      </c>
      <c r="N147" s="1416"/>
      <c r="O147" s="1415">
        <f t="shared" ref="O147:O152" si="66">M147/$F$29*10000</f>
        <v>3.04505649464392E-3</v>
      </c>
      <c r="P147" s="1417"/>
      <c r="Q147" s="862"/>
      <c r="R147" s="865">
        <f>R143/R144</f>
        <v>-0.62533577995330802</v>
      </c>
      <c r="S147" s="866"/>
      <c r="T147" s="865">
        <f>T143/T144</f>
        <v>-0.30750495259904698</v>
      </c>
      <c r="U147" s="867"/>
    </row>
    <row r="148" spans="2:21" s="413" customFormat="1" ht="14.1" customHeight="1" x14ac:dyDescent="0.15">
      <c r="B148" s="467" t="s">
        <v>105</v>
      </c>
      <c r="C148" s="468" t="s">
        <v>262</v>
      </c>
      <c r="D148" s="534"/>
      <c r="E148" s="806">
        <f>E143+E144</f>
        <v>11097.8</v>
      </c>
      <c r="F148" s="473">
        <f>E148/F$29*10000</f>
        <v>1450.45125818262</v>
      </c>
      <c r="G148" s="808">
        <f>G143+G144</f>
        <v>8283.1147599702999</v>
      </c>
      <c r="H148" s="510">
        <f>G148/F$29*10000</f>
        <v>1082.57981088774</v>
      </c>
      <c r="I148" s="840"/>
      <c r="J148" s="843">
        <f>J144+J143</f>
        <v>297.02970297029702</v>
      </c>
      <c r="K148" s="751">
        <f t="shared" si="65"/>
        <v>38.8209470697686</v>
      </c>
      <c r="L148" s="750"/>
      <c r="M148" s="1415">
        <f>M143+M144</f>
        <v>13045.8726679703</v>
      </c>
      <c r="N148" s="1416"/>
      <c r="O148" s="1415">
        <f t="shared" si="66"/>
        <v>1705.0588788181301</v>
      </c>
      <c r="P148" s="1417"/>
      <c r="Q148" s="862"/>
      <c r="R148" s="868">
        <f>R143+R144</f>
        <v>4776.5353059794797</v>
      </c>
      <c r="S148" s="863">
        <f>R148/$F$29</f>
        <v>6.2427973511071197E-2</v>
      </c>
      <c r="T148" s="868">
        <f>T143+T144</f>
        <v>8828.5106133549798</v>
      </c>
      <c r="U148" s="869">
        <f t="shared" ref="U148:U152" si="67">T148/$F$29</f>
        <v>0.115386151552735</v>
      </c>
    </row>
    <row r="149" spans="2:21" s="406" customFormat="1" ht="14.1" customHeight="1" x14ac:dyDescent="0.15">
      <c r="B149" s="467" t="s">
        <v>112</v>
      </c>
      <c r="C149" s="468" t="s">
        <v>263</v>
      </c>
      <c r="D149" s="534"/>
      <c r="E149" s="806">
        <f>E148</f>
        <v>11097.8</v>
      </c>
      <c r="F149" s="473">
        <f>E149/F$29*10000</f>
        <v>1450.45125818262</v>
      </c>
      <c r="G149" s="808">
        <f>G140</f>
        <v>297.02970297029702</v>
      </c>
      <c r="H149" s="510">
        <f>G149/F$29*10000</f>
        <v>38.8209470697686</v>
      </c>
      <c r="I149" s="840"/>
      <c r="J149" s="844">
        <f>-J150+J151</f>
        <v>297.02970297029702</v>
      </c>
      <c r="K149" s="751">
        <f t="shared" si="65"/>
        <v>38.8209470697686</v>
      </c>
      <c r="L149" s="750"/>
      <c r="M149" s="1415">
        <f>M140</f>
        <v>297.02970297029702</v>
      </c>
      <c r="N149" s="1416"/>
      <c r="O149" s="1415">
        <f t="shared" si="66"/>
        <v>38.8209470697686</v>
      </c>
      <c r="P149" s="1417"/>
      <c r="Q149" s="862"/>
      <c r="R149" s="868">
        <f>R150+R151</f>
        <v>4776.5353059794797</v>
      </c>
      <c r="S149" s="863">
        <f>R149/$F$29</f>
        <v>6.2427973511071197E-2</v>
      </c>
      <c r="T149" s="868">
        <f>T150+T151</f>
        <v>8828.5106133549798</v>
      </c>
      <c r="U149" s="870">
        <f t="shared" si="67"/>
        <v>0.115386151552735</v>
      </c>
    </row>
    <row r="150" spans="2:21" s="406" customFormat="1" ht="14.1" customHeight="1" outlineLevel="1" x14ac:dyDescent="0.15">
      <c r="B150" s="467">
        <v>5.0999999999999996</v>
      </c>
      <c r="C150" s="468" t="s">
        <v>264</v>
      </c>
      <c r="D150" s="534"/>
      <c r="E150" s="806">
        <f>E144</f>
        <v>6000</v>
      </c>
      <c r="F150" s="473">
        <f>E150/F$29*10000</f>
        <v>784.18313080932705</v>
      </c>
      <c r="G150" s="808">
        <v>0</v>
      </c>
      <c r="H150" s="510">
        <f>G150/F$29*10000</f>
        <v>0</v>
      </c>
      <c r="I150" s="840"/>
      <c r="J150" s="844"/>
      <c r="K150" s="751">
        <f t="shared" si="65"/>
        <v>0</v>
      </c>
      <c r="L150" s="750"/>
      <c r="M150" s="1415">
        <v>0</v>
      </c>
      <c r="N150" s="1416"/>
      <c r="O150" s="1415">
        <f t="shared" si="66"/>
        <v>0</v>
      </c>
      <c r="P150" s="1417"/>
      <c r="Q150" s="862"/>
      <c r="R150" s="868">
        <f>R148-R151</f>
        <v>4479.50560300918</v>
      </c>
      <c r="S150" s="616"/>
      <c r="T150" s="868">
        <f>T148-T151</f>
        <v>8531.4809103846801</v>
      </c>
      <c r="U150" s="871">
        <f t="shared" si="67"/>
        <v>0.111504056845758</v>
      </c>
    </row>
    <row r="151" spans="2:21" s="406" customFormat="1" ht="14.1" customHeight="1" outlineLevel="1" x14ac:dyDescent="0.15">
      <c r="B151" s="467">
        <v>5.2</v>
      </c>
      <c r="C151" s="468" t="s">
        <v>265</v>
      </c>
      <c r="D151" s="534"/>
      <c r="E151" s="806">
        <f>E143</f>
        <v>5097.8</v>
      </c>
      <c r="F151" s="473">
        <f>E151/F$29*10000</f>
        <v>666.26812737329794</v>
      </c>
      <c r="G151" s="808">
        <f>G140</f>
        <v>297.02970297029702</v>
      </c>
      <c r="H151" s="510">
        <f>G151/F$29*10000</f>
        <v>38.8209470697686</v>
      </c>
      <c r="I151" s="840"/>
      <c r="J151" s="844">
        <f>J140</f>
        <v>297.02970297029702</v>
      </c>
      <c r="K151" s="751">
        <f t="shared" si="65"/>
        <v>38.8209470697686</v>
      </c>
      <c r="L151" s="750"/>
      <c r="M151" s="1415">
        <f>M140</f>
        <v>297.02970297029702</v>
      </c>
      <c r="N151" s="1416"/>
      <c r="O151" s="1415">
        <f t="shared" si="66"/>
        <v>38.8209470697686</v>
      </c>
      <c r="P151" s="1417"/>
      <c r="Q151" s="862"/>
      <c r="R151" s="868">
        <f>R140</f>
        <v>297.02970297029702</v>
      </c>
      <c r="S151" s="616"/>
      <c r="T151" s="868">
        <f>T140</f>
        <v>297.02970297029702</v>
      </c>
      <c r="U151" s="871">
        <f t="shared" si="67"/>
        <v>3.8820947069768599E-3</v>
      </c>
    </row>
    <row r="152" spans="2:21" s="406" customFormat="1" ht="14.1" customHeight="1" x14ac:dyDescent="0.15">
      <c r="B152" s="467" t="s">
        <v>115</v>
      </c>
      <c r="C152" s="468" t="s">
        <v>266</v>
      </c>
      <c r="D152" s="534"/>
      <c r="E152" s="806">
        <f>E148-E149</f>
        <v>0</v>
      </c>
      <c r="F152" s="473">
        <f>E152/F$29*10000</f>
        <v>0</v>
      </c>
      <c r="G152" s="808">
        <f>G148-G149</f>
        <v>7986.0850570000002</v>
      </c>
      <c r="H152" s="510">
        <f>G152/F$29*10000</f>
        <v>1043.75886381797</v>
      </c>
      <c r="I152" s="840"/>
      <c r="J152" s="841">
        <f>J148-J149</f>
        <v>0</v>
      </c>
      <c r="K152" s="751">
        <f t="shared" si="65"/>
        <v>0</v>
      </c>
      <c r="L152" s="750"/>
      <c r="M152" s="1415">
        <f>M148-M149</f>
        <v>12748.842965</v>
      </c>
      <c r="N152" s="1416"/>
      <c r="O152" s="1415">
        <f t="shared" si="66"/>
        <v>1666.2379317483601</v>
      </c>
      <c r="P152" s="1417"/>
      <c r="Q152" s="862"/>
      <c r="R152" s="868">
        <f>R148-R149</f>
        <v>0</v>
      </c>
      <c r="S152" s="616"/>
      <c r="T152" s="868">
        <f>T148-T149</f>
        <v>0</v>
      </c>
      <c r="U152" s="871">
        <f t="shared" si="67"/>
        <v>0</v>
      </c>
    </row>
    <row r="153" spans="2:21" s="406" customFormat="1" ht="22.15" customHeight="1" x14ac:dyDescent="0.15">
      <c r="B153" s="1426" t="s">
        <v>267</v>
      </c>
      <c r="C153" s="1427"/>
      <c r="D153" s="802" t="s">
        <v>35</v>
      </c>
      <c r="E153" s="813" t="s">
        <v>253</v>
      </c>
      <c r="F153" s="804" t="s">
        <v>37</v>
      </c>
      <c r="G153" s="814" t="s">
        <v>253</v>
      </c>
      <c r="H153" s="804" t="s">
        <v>37</v>
      </c>
      <c r="I153" s="836" t="s">
        <v>21</v>
      </c>
      <c r="J153" s="837" t="s">
        <v>253</v>
      </c>
      <c r="K153" s="838" t="s">
        <v>37</v>
      </c>
      <c r="L153" s="839" t="s">
        <v>21</v>
      </c>
      <c r="M153" s="1428" t="s">
        <v>253</v>
      </c>
      <c r="N153" s="1429"/>
      <c r="O153" s="1428" t="s">
        <v>37</v>
      </c>
      <c r="P153" s="1430"/>
      <c r="Q153" s="859" t="s">
        <v>21</v>
      </c>
      <c r="R153" s="860" t="s">
        <v>268</v>
      </c>
      <c r="S153" s="861" t="s">
        <v>37</v>
      </c>
      <c r="T153" s="860" t="s">
        <v>269</v>
      </c>
      <c r="U153" s="861" t="s">
        <v>37</v>
      </c>
    </row>
    <row r="154" spans="2:21" s="406" customFormat="1" ht="14.1" customHeight="1" outlineLevel="1" x14ac:dyDescent="0.15">
      <c r="B154" s="467">
        <v>1</v>
      </c>
      <c r="C154" s="815" t="s">
        <v>86</v>
      </c>
      <c r="D154" s="534"/>
      <c r="E154" s="816">
        <f>E42</f>
        <v>25450</v>
      </c>
      <c r="F154" s="473">
        <f>E154/F$29*10000</f>
        <v>3326.2434465162301</v>
      </c>
      <c r="G154" s="817">
        <f>J154</f>
        <v>25655.181802999999</v>
      </c>
      <c r="H154" s="818">
        <f>K154</f>
        <v>3353.0601312931699</v>
      </c>
      <c r="I154" s="840"/>
      <c r="J154" s="561">
        <f>30000-J158</f>
        <v>25655.181802999999</v>
      </c>
      <c r="K154" s="473">
        <f>J154/$F$29*10000</f>
        <v>3353.0601312931699</v>
      </c>
      <c r="L154" s="750"/>
      <c r="M154" s="1431">
        <f>J154</f>
        <v>25655.181802999999</v>
      </c>
      <c r="N154" s="1436"/>
      <c r="O154" s="1437">
        <f>M154/$F$29*10000</f>
        <v>3353.0601312931699</v>
      </c>
      <c r="P154" s="1433"/>
      <c r="Q154" s="862"/>
      <c r="R154" s="615">
        <f>M154</f>
        <v>25655.181802999999</v>
      </c>
      <c r="S154" s="616">
        <f>R154/$F$29*10000</f>
        <v>3353.0601312931699</v>
      </c>
      <c r="T154" s="615">
        <f>R154</f>
        <v>25655.181802999999</v>
      </c>
      <c r="U154" s="616">
        <f t="shared" ref="U154:U158" si="68">T154/$F$29*10000</f>
        <v>3353.0601312931699</v>
      </c>
    </row>
    <row r="155" spans="2:21" s="406" customFormat="1" ht="14.1" customHeight="1" outlineLevel="1" x14ac:dyDescent="0.15">
      <c r="B155" s="467">
        <v>2</v>
      </c>
      <c r="C155" s="815" t="s">
        <v>270</v>
      </c>
      <c r="D155" s="534"/>
      <c r="E155" s="806">
        <v>0</v>
      </c>
      <c r="F155" s="473">
        <f>E155/F$29*10000</f>
        <v>0</v>
      </c>
      <c r="G155" s="808"/>
      <c r="H155" s="473">
        <f>G155/F$29*10000</f>
        <v>0</v>
      </c>
      <c r="I155" s="840"/>
      <c r="J155" s="561"/>
      <c r="K155" s="473">
        <f t="shared" ref="K155:K164" si="69">J155/$F$29*10000</f>
        <v>0</v>
      </c>
      <c r="L155" s="750"/>
      <c r="M155" s="1431"/>
      <c r="N155" s="1436"/>
      <c r="O155" s="1437">
        <f>M155/$F$29*10000</f>
        <v>0</v>
      </c>
      <c r="P155" s="1433"/>
      <c r="Q155" s="862"/>
      <c r="R155" s="615">
        <f>M155</f>
        <v>0</v>
      </c>
      <c r="S155" s="616">
        <f>R155/$F$29*10000</f>
        <v>0</v>
      </c>
      <c r="T155" s="615">
        <f>R155</f>
        <v>0</v>
      </c>
      <c r="U155" s="616">
        <f t="shared" si="68"/>
        <v>0</v>
      </c>
    </row>
    <row r="156" spans="2:21" s="406" customFormat="1" ht="14.1" customHeight="1" outlineLevel="1" x14ac:dyDescent="0.15">
      <c r="B156" s="467">
        <v>3</v>
      </c>
      <c r="C156" s="815" t="s">
        <v>271</v>
      </c>
      <c r="D156" s="534"/>
      <c r="E156" s="806">
        <f>E108</f>
        <v>4999.2</v>
      </c>
      <c r="F156" s="473">
        <f>E156/F$29*10000</f>
        <v>653.38138459033098</v>
      </c>
      <c r="G156" s="808"/>
      <c r="H156" s="473">
        <f>G156/F$29*10000</f>
        <v>0</v>
      </c>
      <c r="I156" s="840"/>
      <c r="J156" s="561"/>
      <c r="K156" s="473">
        <f t="shared" si="69"/>
        <v>0</v>
      </c>
      <c r="L156" s="750"/>
      <c r="M156" s="1431"/>
      <c r="N156" s="1436"/>
      <c r="O156" s="1437">
        <f>M156/$F$29*10000</f>
        <v>0</v>
      </c>
      <c r="P156" s="1433"/>
      <c r="Q156" s="862"/>
      <c r="R156" s="615">
        <f>M156</f>
        <v>0</v>
      </c>
      <c r="S156" s="616">
        <f>R156/$F$29*10000</f>
        <v>0</v>
      </c>
      <c r="T156" s="615">
        <f>R142*49%</f>
        <v>-4051.9753073755001</v>
      </c>
      <c r="U156" s="616">
        <f t="shared" si="68"/>
        <v>-529.58178041663405</v>
      </c>
    </row>
    <row r="157" spans="2:21" s="406" customFormat="1" ht="14.1" customHeight="1" x14ac:dyDescent="0.15">
      <c r="B157" s="467" t="s">
        <v>40</v>
      </c>
      <c r="C157" s="815" t="s">
        <v>257</v>
      </c>
      <c r="D157" s="534"/>
      <c r="E157" s="806">
        <f>E156+E155+E154</f>
        <v>30449.200000000001</v>
      </c>
      <c r="F157" s="473">
        <f>E157/F$29*10000</f>
        <v>3979.6248311065601</v>
      </c>
      <c r="G157" s="819">
        <f>G156+G155+G154</f>
        <v>25655.181802999999</v>
      </c>
      <c r="H157" s="473">
        <f>H156+H155+H154</f>
        <v>3353.0601312931699</v>
      </c>
      <c r="I157" s="840"/>
      <c r="J157" s="572">
        <f>J156+J155+J154</f>
        <v>25655.181802999999</v>
      </c>
      <c r="K157" s="473">
        <f t="shared" si="69"/>
        <v>3353.0601312931699</v>
      </c>
      <c r="L157" s="750"/>
      <c r="M157" s="1415">
        <f>M156+M155+M154</f>
        <v>25655.181802999999</v>
      </c>
      <c r="N157" s="1416"/>
      <c r="O157" s="1415">
        <f>M157/$F$29*10000</f>
        <v>3353.0601312931699</v>
      </c>
      <c r="P157" s="1417"/>
      <c r="Q157" s="862"/>
      <c r="R157" s="615">
        <f>M157</f>
        <v>25655.181802999999</v>
      </c>
      <c r="S157" s="616">
        <f>R157/$F$29*10000</f>
        <v>3353.0601312931699</v>
      </c>
      <c r="T157" s="615">
        <f>T154+T155+T156</f>
        <v>21603.206495624501</v>
      </c>
      <c r="U157" s="616">
        <f t="shared" si="68"/>
        <v>2823.4783508765299</v>
      </c>
    </row>
    <row r="158" spans="2:21" s="406" customFormat="1" ht="14.1" customHeight="1" x14ac:dyDescent="0.15">
      <c r="B158" s="467" t="s">
        <v>45</v>
      </c>
      <c r="C158" s="815" t="s">
        <v>258</v>
      </c>
      <c r="D158" s="534"/>
      <c r="E158" s="820">
        <f>E39</f>
        <v>4550</v>
      </c>
      <c r="F158" s="473">
        <f>E158/F$29*10000</f>
        <v>594.67220753040601</v>
      </c>
      <c r="G158" s="819">
        <f>J158</f>
        <v>4344.8181969999996</v>
      </c>
      <c r="H158" s="473">
        <f>G158/F$29*10000</f>
        <v>567.85552275346504</v>
      </c>
      <c r="I158" s="840"/>
      <c r="J158" s="572">
        <v>4344.8181969999996</v>
      </c>
      <c r="K158" s="473">
        <f t="shared" si="69"/>
        <v>567.85552275346504</v>
      </c>
      <c r="L158" s="750"/>
      <c r="M158" s="1415">
        <v>4344.8181969999996</v>
      </c>
      <c r="N158" s="1416"/>
      <c r="O158" s="1415">
        <f>M158/$F$29*10000</f>
        <v>567.85552275346504</v>
      </c>
      <c r="P158" s="1417"/>
      <c r="Q158" s="862"/>
      <c r="R158" s="615">
        <f>M158</f>
        <v>4344.8181969999996</v>
      </c>
      <c r="S158" s="616">
        <f>R158/$F$29*10000</f>
        <v>567.85552275346504</v>
      </c>
      <c r="T158" s="615">
        <f>R158</f>
        <v>4344.8181969999996</v>
      </c>
      <c r="U158" s="616">
        <f t="shared" si="68"/>
        <v>567.85552275346504</v>
      </c>
    </row>
    <row r="159" spans="2:21" s="406" customFormat="1" ht="14.1" customHeight="1" x14ac:dyDescent="0.15">
      <c r="B159" s="467" t="s">
        <v>83</v>
      </c>
      <c r="C159" s="815" t="s">
        <v>261</v>
      </c>
      <c r="D159" s="534"/>
      <c r="E159" s="811">
        <f>E157/E158</f>
        <v>6.6921318681318702</v>
      </c>
      <c r="F159" s="812">
        <f>F157/F158</f>
        <v>6.6921318681318702</v>
      </c>
      <c r="G159" s="821">
        <f>G157/G158</f>
        <v>5.9047768260394298</v>
      </c>
      <c r="H159" s="812">
        <f>H157/H158</f>
        <v>5.9047768260394298</v>
      </c>
      <c r="I159" s="840"/>
      <c r="J159" s="845">
        <f>J154/J158</f>
        <v>5.9047768260394298</v>
      </c>
      <c r="K159" s="812">
        <f>K154/K158</f>
        <v>5.9047768260394298</v>
      </c>
      <c r="L159" s="846"/>
      <c r="M159" s="1415">
        <f>M154/M158</f>
        <v>5.9047768260394298</v>
      </c>
      <c r="N159" s="1416"/>
      <c r="O159" s="1415">
        <f>O154/O158</f>
        <v>5.9047768260394298</v>
      </c>
      <c r="P159" s="1417"/>
      <c r="Q159" s="872"/>
      <c r="R159" s="865">
        <f>R154/R158</f>
        <v>5.9047768260394298</v>
      </c>
      <c r="S159" s="869">
        <f>S154/S158</f>
        <v>5.9047768260394298</v>
      </c>
      <c r="T159" s="865">
        <f t="shared" ref="T159:U159" si="70">T154/T158</f>
        <v>5.9047768260394298</v>
      </c>
      <c r="U159" s="869">
        <f t="shared" si="70"/>
        <v>5.9047768260394298</v>
      </c>
    </row>
    <row r="160" spans="2:21" s="413" customFormat="1" ht="14.1" customHeight="1" x14ac:dyDescent="0.15">
      <c r="B160" s="467" t="s">
        <v>105</v>
      </c>
      <c r="C160" s="468" t="s">
        <v>262</v>
      </c>
      <c r="D160" s="534"/>
      <c r="E160" s="806">
        <f>E157+E158</f>
        <v>34999.199999999997</v>
      </c>
      <c r="F160" s="473">
        <f>E160/F$29*10000</f>
        <v>4574.2970386369598</v>
      </c>
      <c r="G160" s="808">
        <f>G157+G158</f>
        <v>30000</v>
      </c>
      <c r="H160" s="510">
        <f>G160/F$29*10000</f>
        <v>3920.9156540466302</v>
      </c>
      <c r="I160" s="840"/>
      <c r="J160" s="843">
        <f>J157+J158</f>
        <v>30000</v>
      </c>
      <c r="K160" s="510">
        <f t="shared" si="69"/>
        <v>3920.9156540466302</v>
      </c>
      <c r="L160" s="847"/>
      <c r="M160" s="1415">
        <f>M157+M158</f>
        <v>30000</v>
      </c>
      <c r="N160" s="1416"/>
      <c r="O160" s="1415">
        <f>M160/$F$29*10000</f>
        <v>3920.9156540466302</v>
      </c>
      <c r="P160" s="1417"/>
      <c r="Q160" s="862"/>
      <c r="R160" s="791">
        <f>R157+R158</f>
        <v>30000</v>
      </c>
      <c r="S160" s="616">
        <f>R160/$F$29*10000</f>
        <v>3920.9156540466302</v>
      </c>
      <c r="T160" s="791">
        <f>T157+T158</f>
        <v>25948.024692624502</v>
      </c>
      <c r="U160" s="616">
        <f>T160/$F$29*10000</f>
        <v>3391.3338736300002</v>
      </c>
    </row>
    <row r="161" spans="2:21" s="406" customFormat="1" ht="14.1" customHeight="1" x14ac:dyDescent="0.15">
      <c r="B161" s="467" t="s">
        <v>112</v>
      </c>
      <c r="C161" s="468" t="s">
        <v>263</v>
      </c>
      <c r="D161" s="534"/>
      <c r="E161" s="806">
        <f>E160</f>
        <v>34999.199999999997</v>
      </c>
      <c r="F161" s="473">
        <f>E161/F$29*10000</f>
        <v>4574.2970386369598</v>
      </c>
      <c r="G161" s="808">
        <f>G162+G163</f>
        <v>27903.153431999999</v>
      </c>
      <c r="H161" s="510">
        <f>G161/F$29*10000</f>
        <v>3646.8637029597899</v>
      </c>
      <c r="I161" s="840"/>
      <c r="J161" s="844">
        <f>279031534.32/10000</f>
        <v>27903.153431999999</v>
      </c>
      <c r="K161" s="510">
        <f t="shared" si="69"/>
        <v>3646.8637029597899</v>
      </c>
      <c r="L161" s="847"/>
      <c r="M161" s="1415">
        <f>279031534.32/10000</f>
        <v>27903.153431999999</v>
      </c>
      <c r="N161" s="1416"/>
      <c r="O161" s="1415">
        <f>M161/$F$29*10000</f>
        <v>3646.8637029597899</v>
      </c>
      <c r="P161" s="1417"/>
      <c r="Q161" s="862"/>
      <c r="R161" s="615">
        <f>279031534.32/10000</f>
        <v>27903.153431999999</v>
      </c>
      <c r="S161" s="616">
        <f>R161/$F$29*10000</f>
        <v>3646.8637029597899</v>
      </c>
      <c r="T161" s="615">
        <f>279031534.32/10000</f>
        <v>27903.153431999999</v>
      </c>
      <c r="U161" s="616">
        <f t="shared" ref="U161:U164" si="71">T161/$F$29*10000</f>
        <v>3646.8637029597899</v>
      </c>
    </row>
    <row r="162" spans="2:21" s="406" customFormat="1" ht="14.1" customHeight="1" outlineLevel="1" x14ac:dyDescent="0.15">
      <c r="B162" s="467">
        <v>5.0999999999999996</v>
      </c>
      <c r="C162" s="468" t="s">
        <v>264</v>
      </c>
      <c r="D162" s="534"/>
      <c r="E162" s="806">
        <f>E158</f>
        <v>4550</v>
      </c>
      <c r="F162" s="473">
        <f t="shared" ref="F162:F171" si="72">E162/F$29*10000</f>
        <v>594.67220753040601</v>
      </c>
      <c r="G162" s="808">
        <f>G158</f>
        <v>4344.8181969999996</v>
      </c>
      <c r="H162" s="510">
        <f t="shared" ref="H162:H171" si="73">G162/F$29*10000</f>
        <v>567.85552275346504</v>
      </c>
      <c r="I162" s="840"/>
      <c r="J162" s="844">
        <f>J158</f>
        <v>4344.8181969999996</v>
      </c>
      <c r="K162" s="510">
        <f t="shared" si="69"/>
        <v>567.85552275346504</v>
      </c>
      <c r="L162" s="847"/>
      <c r="M162" s="1415">
        <f>M158</f>
        <v>4344.8181969999996</v>
      </c>
      <c r="N162" s="1416"/>
      <c r="O162" s="1415">
        <f t="shared" ref="O162:O171" si="74">M162/$F$29*10000</f>
        <v>567.85552275346504</v>
      </c>
      <c r="P162" s="1417"/>
      <c r="Q162" s="862"/>
      <c r="R162" s="615">
        <f>R158</f>
        <v>4344.8181969999996</v>
      </c>
      <c r="S162" s="616">
        <f>R162/$F$29*10000</f>
        <v>567.85552275346504</v>
      </c>
      <c r="T162" s="615">
        <f>T158</f>
        <v>4344.8181969999996</v>
      </c>
      <c r="U162" s="616">
        <f t="shared" si="71"/>
        <v>567.85552275346504</v>
      </c>
    </row>
    <row r="163" spans="2:21" s="406" customFormat="1" ht="14.1" customHeight="1" outlineLevel="1" x14ac:dyDescent="0.15">
      <c r="B163" s="467">
        <v>5.2</v>
      </c>
      <c r="C163" s="468" t="s">
        <v>265</v>
      </c>
      <c r="D163" s="534"/>
      <c r="E163" s="806">
        <f>E157</f>
        <v>30449.200000000001</v>
      </c>
      <c r="F163" s="473">
        <f t="shared" si="72"/>
        <v>3979.6248311065601</v>
      </c>
      <c r="G163" s="808">
        <f>J163</f>
        <v>23558.335234999999</v>
      </c>
      <c r="H163" s="510">
        <f t="shared" si="73"/>
        <v>3079.0081802063301</v>
      </c>
      <c r="I163" s="840"/>
      <c r="J163" s="844">
        <f>J161-J162</f>
        <v>23558.335234999999</v>
      </c>
      <c r="K163" s="510">
        <f t="shared" si="69"/>
        <v>3079.0081802063301</v>
      </c>
      <c r="L163" s="847"/>
      <c r="M163" s="1415">
        <f>M161-M162</f>
        <v>23558.335234999999</v>
      </c>
      <c r="N163" s="1416"/>
      <c r="O163" s="1415">
        <f t="shared" si="74"/>
        <v>3079.0081802063301</v>
      </c>
      <c r="P163" s="1417"/>
      <c r="Q163" s="862"/>
      <c r="R163" s="615">
        <f>R161-R162</f>
        <v>23558.335234999999</v>
      </c>
      <c r="S163" s="616">
        <f>R163/$F$29*10000</f>
        <v>3079.0081802063301</v>
      </c>
      <c r="T163" s="615">
        <f>T161-T162</f>
        <v>23558.335234999999</v>
      </c>
      <c r="U163" s="616">
        <f t="shared" si="71"/>
        <v>3079.0081802063301</v>
      </c>
    </row>
    <row r="164" spans="2:21" s="406" customFormat="1" ht="14.1" customHeight="1" x14ac:dyDescent="0.15">
      <c r="B164" s="822" t="s">
        <v>115</v>
      </c>
      <c r="C164" s="823" t="s">
        <v>266</v>
      </c>
      <c r="D164" s="824"/>
      <c r="E164" s="825">
        <f>E160-E161</f>
        <v>0</v>
      </c>
      <c r="F164" s="826"/>
      <c r="G164" s="827">
        <f>G160-G161</f>
        <v>2096.8465679999999</v>
      </c>
      <c r="H164" s="826">
        <f>H160-H161</f>
        <v>274.05195108683802</v>
      </c>
      <c r="I164" s="848"/>
      <c r="J164" s="849">
        <f>J160-J161</f>
        <v>2096.8465679999999</v>
      </c>
      <c r="K164" s="826">
        <f t="shared" si="69"/>
        <v>274.05195108683898</v>
      </c>
      <c r="L164" s="850"/>
      <c r="M164" s="1415">
        <f>M160-M161</f>
        <v>2096.8465679999999</v>
      </c>
      <c r="N164" s="1416"/>
      <c r="O164" s="1415">
        <f t="shared" si="74"/>
        <v>274.05195108683898</v>
      </c>
      <c r="P164" s="1417"/>
      <c r="Q164" s="873"/>
      <c r="R164" s="874">
        <f>R160-R161</f>
        <v>2096.8465679999999</v>
      </c>
      <c r="S164" s="875">
        <f>R164/$F$29*10000</f>
        <v>274.05195108683898</v>
      </c>
      <c r="T164" s="874">
        <f>T160-T161</f>
        <v>-1955.1287393754999</v>
      </c>
      <c r="U164" s="875">
        <f t="shared" si="71"/>
        <v>-255.52982932979501</v>
      </c>
    </row>
    <row r="165" spans="2:21" s="406" customFormat="1" ht="23.65" customHeight="1" x14ac:dyDescent="0.15">
      <c r="B165" s="1258" t="s">
        <v>639</v>
      </c>
      <c r="C165" s="801"/>
      <c r="D165" s="677"/>
      <c r="E165" s="678"/>
      <c r="F165" s="679"/>
      <c r="G165" s="680"/>
      <c r="H165" s="679"/>
      <c r="I165" s="677"/>
      <c r="J165" s="834"/>
      <c r="K165" s="835"/>
      <c r="L165" s="699"/>
      <c r="M165" s="700"/>
      <c r="N165" s="700"/>
      <c r="O165" s="553"/>
      <c r="P165" s="553"/>
      <c r="Q165" s="856"/>
      <c r="R165" s="857"/>
      <c r="S165" s="858"/>
      <c r="T165"/>
      <c r="U165"/>
    </row>
    <row r="166" spans="2:21" s="406" customFormat="1" ht="21" customHeight="1" x14ac:dyDescent="0.15">
      <c r="B166" s="1426" t="s">
        <v>252</v>
      </c>
      <c r="C166" s="1427"/>
      <c r="D166" s="802" t="s">
        <v>35</v>
      </c>
      <c r="E166" s="803" t="s">
        <v>253</v>
      </c>
      <c r="F166" s="804" t="s">
        <v>37</v>
      </c>
      <c r="G166" s="805" t="s">
        <v>253</v>
      </c>
      <c r="H166" s="804" t="s">
        <v>37</v>
      </c>
      <c r="I166" s="836" t="s">
        <v>21</v>
      </c>
      <c r="J166" s="837" t="s">
        <v>253</v>
      </c>
      <c r="K166" s="838" t="s">
        <v>37</v>
      </c>
      <c r="L166" s="839" t="s">
        <v>21</v>
      </c>
      <c r="M166" s="1428" t="s">
        <v>253</v>
      </c>
      <c r="N166" s="1429"/>
      <c r="O166" s="1428" t="s">
        <v>37</v>
      </c>
      <c r="P166" s="1430"/>
      <c r="Q166" s="859" t="s">
        <v>21</v>
      </c>
      <c r="R166" s="860" t="s">
        <v>255</v>
      </c>
      <c r="S166" s="861" t="s">
        <v>37</v>
      </c>
      <c r="T166"/>
      <c r="U166"/>
    </row>
    <row r="167" spans="2:21" s="406" customFormat="1" ht="14.1" customHeight="1" outlineLevel="1" x14ac:dyDescent="0.15">
      <c r="B167" s="467">
        <v>1</v>
      </c>
      <c r="C167" s="468" t="s">
        <v>139</v>
      </c>
      <c r="D167" s="534"/>
      <c r="E167" s="806">
        <f t="shared" ref="E167:J167" si="75">E74</f>
        <v>0</v>
      </c>
      <c r="F167" s="473">
        <f t="shared" si="72"/>
        <v>0</v>
      </c>
      <c r="G167" s="807">
        <f t="shared" si="75"/>
        <v>3.46</v>
      </c>
      <c r="H167" s="510">
        <f t="shared" si="73"/>
        <v>0.452212272100045</v>
      </c>
      <c r="I167" s="840"/>
      <c r="J167" s="561">
        <f t="shared" si="75"/>
        <v>0</v>
      </c>
      <c r="K167" s="751">
        <f t="shared" ref="K167:K172" si="76">J167/$F$29*10000</f>
        <v>0</v>
      </c>
      <c r="L167" s="750"/>
      <c r="M167" s="1431">
        <f>M74</f>
        <v>10.58</v>
      </c>
      <c r="N167" s="1432"/>
      <c r="O167" s="1431">
        <f t="shared" si="74"/>
        <v>1.38277625399378</v>
      </c>
      <c r="P167" s="1433"/>
      <c r="Q167" s="862"/>
      <c r="R167" s="615">
        <f>R140</f>
        <v>297.02970297029702</v>
      </c>
      <c r="S167" s="863">
        <f t="shared" ref="S167:S171" si="77">R167/$F$29</f>
        <v>3.8820947069768599E-3</v>
      </c>
      <c r="T167"/>
      <c r="U167"/>
    </row>
    <row r="168" spans="2:21" s="406" customFormat="1" ht="14.1" customHeight="1" outlineLevel="1" x14ac:dyDescent="0.15">
      <c r="B168" s="467">
        <v>2</v>
      </c>
      <c r="C168" s="468" t="s">
        <v>256</v>
      </c>
      <c r="D168" s="534"/>
      <c r="E168" s="806">
        <f>E78</f>
        <v>0</v>
      </c>
      <c r="F168" s="473">
        <f t="shared" si="72"/>
        <v>0</v>
      </c>
      <c r="G168" s="808"/>
      <c r="H168" s="510">
        <f t="shared" si="73"/>
        <v>0</v>
      </c>
      <c r="I168" s="840"/>
      <c r="J168" s="593">
        <f>J78</f>
        <v>0</v>
      </c>
      <c r="K168" s="751">
        <f t="shared" si="76"/>
        <v>0</v>
      </c>
      <c r="L168" s="750"/>
      <c r="M168" s="1431"/>
      <c r="N168" s="1432"/>
      <c r="O168" s="1431">
        <f t="shared" si="74"/>
        <v>0</v>
      </c>
      <c r="P168" s="1433"/>
      <c r="Q168" s="862"/>
      <c r="R168" s="615"/>
      <c r="S168" s="863">
        <f t="shared" si="77"/>
        <v>0</v>
      </c>
      <c r="T168"/>
      <c r="U168"/>
    </row>
    <row r="169" spans="2:21" s="406" customFormat="1" ht="14.1" customHeight="1" outlineLevel="1" x14ac:dyDescent="0.15">
      <c r="B169" s="467">
        <v>3</v>
      </c>
      <c r="C169" s="468" t="s">
        <v>193</v>
      </c>
      <c r="D169" s="534"/>
      <c r="E169" s="806">
        <f>E134</f>
        <v>0</v>
      </c>
      <c r="F169" s="473">
        <f t="shared" si="72"/>
        <v>0</v>
      </c>
      <c r="G169" s="808"/>
      <c r="H169" s="510">
        <f t="shared" si="73"/>
        <v>0</v>
      </c>
      <c r="I169" s="840"/>
      <c r="J169" s="615">
        <f>J133*100%</f>
        <v>0</v>
      </c>
      <c r="K169" s="751">
        <f t="shared" si="76"/>
        <v>0</v>
      </c>
      <c r="L169" s="750"/>
      <c r="M169" s="1431"/>
      <c r="N169" s="1432"/>
      <c r="O169" s="1431">
        <f t="shared" si="74"/>
        <v>0</v>
      </c>
      <c r="P169" s="1433"/>
      <c r="Q169" s="862"/>
      <c r="R169" s="615">
        <f>R142*51%</f>
        <v>-4217.3620546153197</v>
      </c>
      <c r="S169" s="863">
        <f t="shared" si="77"/>
        <v>-5.5119736329078198E-2</v>
      </c>
      <c r="T169"/>
      <c r="U169"/>
    </row>
    <row r="170" spans="2:21" s="406" customFormat="1" ht="14.1" customHeight="1" x14ac:dyDescent="0.15">
      <c r="B170" s="467" t="s">
        <v>40</v>
      </c>
      <c r="C170" s="468" t="s">
        <v>257</v>
      </c>
      <c r="D170" s="534"/>
      <c r="E170" s="806">
        <f>E167+E168+E169</f>
        <v>0</v>
      </c>
      <c r="F170" s="473">
        <f t="shared" si="72"/>
        <v>0</v>
      </c>
      <c r="G170" s="472">
        <f>G167+G168+G169</f>
        <v>3.46</v>
      </c>
      <c r="H170" s="510">
        <f t="shared" si="73"/>
        <v>0.452212272100045</v>
      </c>
      <c r="I170" s="840"/>
      <c r="J170" s="841">
        <f>SUM(J167:J169)</f>
        <v>0</v>
      </c>
      <c r="K170" s="751">
        <f t="shared" si="76"/>
        <v>0</v>
      </c>
      <c r="L170" s="750"/>
      <c r="M170" s="1415">
        <f>M167+M168+M169</f>
        <v>10.58</v>
      </c>
      <c r="N170" s="1416"/>
      <c r="O170" s="1415">
        <f t="shared" si="74"/>
        <v>1.38277625399378</v>
      </c>
      <c r="P170" s="1417"/>
      <c r="Q170" s="862"/>
      <c r="R170" s="864">
        <f>R169+R168+R167</f>
        <v>-3920.33235164502</v>
      </c>
      <c r="S170" s="863">
        <f t="shared" si="77"/>
        <v>-5.1237641622101399E-2</v>
      </c>
      <c r="T170"/>
      <c r="U170"/>
    </row>
    <row r="171" spans="2:21" s="406" customFormat="1" ht="14.1" customHeight="1" x14ac:dyDescent="0.15">
      <c r="B171" s="467" t="s">
        <v>45</v>
      </c>
      <c r="C171" s="468" t="s">
        <v>258</v>
      </c>
      <c r="D171" s="534"/>
      <c r="E171" s="806">
        <v>6000</v>
      </c>
      <c r="F171" s="473">
        <f t="shared" si="72"/>
        <v>784.18313080932705</v>
      </c>
      <c r="G171" s="808">
        <f>G172+G173</f>
        <v>7986</v>
      </c>
      <c r="H171" s="510">
        <f t="shared" si="73"/>
        <v>1043.7477471072139</v>
      </c>
      <c r="I171" s="840"/>
      <c r="J171" s="572"/>
      <c r="K171" s="751">
        <f t="shared" si="76"/>
        <v>0</v>
      </c>
      <c r="L171" s="750"/>
      <c r="M171" s="1415" t="e">
        <f>M156+M153</f>
        <v>#VALUE!</v>
      </c>
      <c r="N171" s="1416"/>
      <c r="O171" s="1415" t="e">
        <f t="shared" si="74"/>
        <v>#VALUE!</v>
      </c>
      <c r="P171" s="1417"/>
      <c r="Q171" s="862"/>
      <c r="R171" s="615">
        <f>R144</f>
        <v>12748.842965</v>
      </c>
      <c r="S171" s="863">
        <f t="shared" si="77"/>
        <v>0.166623793174836</v>
      </c>
      <c r="T171"/>
      <c r="U171"/>
    </row>
    <row r="172" spans="2:21" s="406" customFormat="1" ht="14.1" customHeight="1" outlineLevel="1" x14ac:dyDescent="0.15">
      <c r="B172" s="467">
        <v>2.1</v>
      </c>
      <c r="C172" s="468" t="s">
        <v>259</v>
      </c>
      <c r="D172" s="534"/>
      <c r="E172" s="806"/>
      <c r="F172" s="473"/>
      <c r="G172" s="808">
        <v>6000</v>
      </c>
      <c r="H172" s="510"/>
      <c r="I172" s="840"/>
      <c r="J172" s="572">
        <f>6000</f>
        <v>6000</v>
      </c>
      <c r="K172" s="751">
        <f t="shared" si="76"/>
        <v>784.18313080932705</v>
      </c>
      <c r="L172" s="750"/>
      <c r="M172" s="1434">
        <f>6000</f>
        <v>6000</v>
      </c>
      <c r="N172" s="1435"/>
      <c r="O172" s="1415"/>
      <c r="P172" s="1417"/>
      <c r="Q172" s="862"/>
      <c r="R172" s="572">
        <f>6000</f>
        <v>6000</v>
      </c>
      <c r="S172" s="863"/>
      <c r="T172"/>
      <c r="U172"/>
    </row>
    <row r="173" spans="2:21" s="406" customFormat="1" ht="14.1" customHeight="1" outlineLevel="1" x14ac:dyDescent="0.15">
      <c r="B173" s="467">
        <v>2.2000000000000002</v>
      </c>
      <c r="C173" s="468" t="s">
        <v>260</v>
      </c>
      <c r="D173" s="534"/>
      <c r="E173" s="806"/>
      <c r="F173" s="473"/>
      <c r="G173" s="808">
        <v>1986</v>
      </c>
      <c r="H173" s="510"/>
      <c r="I173" s="840"/>
      <c r="J173" s="572">
        <f>J171-J172</f>
        <v>-6000</v>
      </c>
      <c r="K173" s="751"/>
      <c r="L173" s="750"/>
      <c r="M173" s="1415" t="e">
        <f>M171-M172</f>
        <v>#VALUE!</v>
      </c>
      <c r="N173" s="1416"/>
      <c r="O173" s="1415"/>
      <c r="P173" s="1417"/>
      <c r="Q173" s="862"/>
      <c r="R173" s="615">
        <f>R171-R172</f>
        <v>6748.8429649999998</v>
      </c>
      <c r="S173" s="863"/>
      <c r="T173"/>
      <c r="U173"/>
    </row>
    <row r="174" spans="2:21" s="413" customFormat="1" ht="14.1" customHeight="1" x14ac:dyDescent="0.15">
      <c r="B174" s="809" t="s">
        <v>83</v>
      </c>
      <c r="C174" s="810" t="s">
        <v>261</v>
      </c>
      <c r="D174" s="534"/>
      <c r="E174" s="811">
        <f>E170/E171</f>
        <v>0</v>
      </c>
      <c r="F174" s="812">
        <f>F170/F171</f>
        <v>0</v>
      </c>
      <c r="G174" s="808"/>
      <c r="H174" s="473"/>
      <c r="I174" s="840"/>
      <c r="J174" s="842"/>
      <c r="K174" s="751">
        <f t="shared" ref="K174:K179" si="78">J174/$F$29*10000</f>
        <v>0</v>
      </c>
      <c r="L174" s="750"/>
      <c r="M174" s="1415" t="e">
        <f>M170/M171</f>
        <v>#VALUE!</v>
      </c>
      <c r="N174" s="1416"/>
      <c r="O174" s="1415" t="e">
        <f t="shared" ref="O174:O179" si="79">M174/$F$29*10000</f>
        <v>#VALUE!</v>
      </c>
      <c r="P174" s="1417"/>
      <c r="Q174" s="862"/>
      <c r="R174" s="865">
        <f>R170/R171</f>
        <v>-0.30750495259904698</v>
      </c>
      <c r="S174" s="867"/>
      <c r="T174"/>
      <c r="U174"/>
    </row>
    <row r="175" spans="2:21" s="413" customFormat="1" ht="14.1" customHeight="1" x14ac:dyDescent="0.15">
      <c r="B175" s="467" t="s">
        <v>105</v>
      </c>
      <c r="C175" s="468" t="s">
        <v>262</v>
      </c>
      <c r="D175" s="534"/>
      <c r="E175" s="806">
        <f>E170+E171</f>
        <v>6000</v>
      </c>
      <c r="F175" s="473">
        <f t="shared" ref="F175:F179" si="80">E175/F$29*10000</f>
        <v>784.18313080932705</v>
      </c>
      <c r="G175" s="808">
        <f>G170+G171</f>
        <v>7989.46</v>
      </c>
      <c r="H175" s="510">
        <f t="shared" ref="H175:H179" si="81">G175/F$29*10000</f>
        <v>1044.1999593793137</v>
      </c>
      <c r="I175" s="840"/>
      <c r="J175" s="843">
        <f>J171+J170</f>
        <v>0</v>
      </c>
      <c r="K175" s="751">
        <f t="shared" si="78"/>
        <v>0</v>
      </c>
      <c r="L175" s="750"/>
      <c r="M175" s="1415" t="e">
        <f>M170+M171</f>
        <v>#VALUE!</v>
      </c>
      <c r="N175" s="1416"/>
      <c r="O175" s="1415" t="e">
        <f t="shared" si="79"/>
        <v>#VALUE!</v>
      </c>
      <c r="P175" s="1417"/>
      <c r="Q175" s="862"/>
      <c r="R175" s="868">
        <f>R170+R171</f>
        <v>8828.5106133549798</v>
      </c>
      <c r="S175" s="869">
        <f t="shared" ref="S175:S179" si="82">R175/$F$29</f>
        <v>0.115386151552735</v>
      </c>
      <c r="T175"/>
      <c r="U175"/>
    </row>
    <row r="176" spans="2:21" s="406" customFormat="1" ht="14.1" customHeight="1" x14ac:dyDescent="0.15">
      <c r="B176" s="467" t="s">
        <v>112</v>
      </c>
      <c r="C176" s="468" t="s">
        <v>263</v>
      </c>
      <c r="D176" s="534"/>
      <c r="E176" s="806">
        <f>E175</f>
        <v>6000</v>
      </c>
      <c r="F176" s="473">
        <f t="shared" si="80"/>
        <v>784.18313080932705</v>
      </c>
      <c r="G176" s="808">
        <f>G167</f>
        <v>3.46</v>
      </c>
      <c r="H176" s="510">
        <f t="shared" si="81"/>
        <v>0.452212272100045</v>
      </c>
      <c r="I176" s="840"/>
      <c r="J176" s="844">
        <f>-J177+J178</f>
        <v>0</v>
      </c>
      <c r="K176" s="751">
        <f t="shared" si="78"/>
        <v>0</v>
      </c>
      <c r="L176" s="750"/>
      <c r="M176" s="1415">
        <f>M167</f>
        <v>10.58</v>
      </c>
      <c r="N176" s="1416"/>
      <c r="O176" s="1415">
        <f t="shared" si="79"/>
        <v>1.38277625399378</v>
      </c>
      <c r="P176" s="1417"/>
      <c r="Q176" s="862"/>
      <c r="R176" s="868">
        <f>R177+R178</f>
        <v>8828.5106133549798</v>
      </c>
      <c r="S176" s="870">
        <f t="shared" si="82"/>
        <v>0.115386151552735</v>
      </c>
      <c r="T176"/>
      <c r="U176"/>
    </row>
    <row r="177" spans="2:21" s="406" customFormat="1" ht="14.1" customHeight="1" outlineLevel="1" x14ac:dyDescent="0.15">
      <c r="B177" s="467">
        <v>5.0999999999999996</v>
      </c>
      <c r="C177" s="468" t="s">
        <v>264</v>
      </c>
      <c r="D177" s="534"/>
      <c r="E177" s="806">
        <f>E171</f>
        <v>6000</v>
      </c>
      <c r="F177" s="473">
        <f t="shared" si="80"/>
        <v>784.18313080932705</v>
      </c>
      <c r="G177" s="808">
        <v>0</v>
      </c>
      <c r="H177" s="510">
        <f t="shared" si="81"/>
        <v>0</v>
      </c>
      <c r="I177" s="840"/>
      <c r="J177" s="844"/>
      <c r="K177" s="751">
        <f t="shared" si="78"/>
        <v>0</v>
      </c>
      <c r="L177" s="750"/>
      <c r="M177" s="1415">
        <v>0</v>
      </c>
      <c r="N177" s="1416"/>
      <c r="O177" s="1415">
        <f t="shared" si="79"/>
        <v>0</v>
      </c>
      <c r="P177" s="1417"/>
      <c r="Q177" s="862"/>
      <c r="R177" s="868">
        <f>R175-R178</f>
        <v>8531.4809103846801</v>
      </c>
      <c r="S177" s="871">
        <f t="shared" si="82"/>
        <v>0.111504056845758</v>
      </c>
      <c r="T177"/>
      <c r="U177"/>
    </row>
    <row r="178" spans="2:21" s="406" customFormat="1" ht="14.1" customHeight="1" outlineLevel="1" x14ac:dyDescent="0.15">
      <c r="B178" s="467">
        <v>5.2</v>
      </c>
      <c r="C178" s="468" t="s">
        <v>265</v>
      </c>
      <c r="D178" s="534"/>
      <c r="E178" s="806">
        <f>E170</f>
        <v>0</v>
      </c>
      <c r="F178" s="473">
        <f t="shared" si="80"/>
        <v>0</v>
      </c>
      <c r="G178" s="808">
        <f>G167</f>
        <v>3.46</v>
      </c>
      <c r="H178" s="510">
        <f t="shared" si="81"/>
        <v>0.452212272100045</v>
      </c>
      <c r="I178" s="840"/>
      <c r="J178" s="844">
        <f>J167</f>
        <v>0</v>
      </c>
      <c r="K178" s="751">
        <f t="shared" si="78"/>
        <v>0</v>
      </c>
      <c r="L178" s="750"/>
      <c r="M178" s="1415">
        <f>M167</f>
        <v>10.58</v>
      </c>
      <c r="N178" s="1416"/>
      <c r="O178" s="1415">
        <f t="shared" si="79"/>
        <v>1.38277625399378</v>
      </c>
      <c r="P178" s="1417"/>
      <c r="Q178" s="862"/>
      <c r="R178" s="868">
        <f>R167</f>
        <v>297.02970297029702</v>
      </c>
      <c r="S178" s="871">
        <f t="shared" si="82"/>
        <v>3.8820947069768599E-3</v>
      </c>
      <c r="T178"/>
      <c r="U178"/>
    </row>
    <row r="179" spans="2:21" s="406" customFormat="1" ht="14.1" customHeight="1" x14ac:dyDescent="0.15">
      <c r="B179" s="467" t="s">
        <v>115</v>
      </c>
      <c r="C179" s="468" t="s">
        <v>266</v>
      </c>
      <c r="D179" s="534"/>
      <c r="E179" s="806">
        <f t="shared" ref="E179:J179" si="83">E175-E176</f>
        <v>0</v>
      </c>
      <c r="F179" s="473">
        <f t="shared" si="80"/>
        <v>0</v>
      </c>
      <c r="G179" s="808">
        <f t="shared" si="83"/>
        <v>7986</v>
      </c>
      <c r="H179" s="510">
        <f t="shared" si="81"/>
        <v>1043.7477471072139</v>
      </c>
      <c r="I179" s="840"/>
      <c r="J179" s="841">
        <f t="shared" si="83"/>
        <v>0</v>
      </c>
      <c r="K179" s="751">
        <f t="shared" si="78"/>
        <v>0</v>
      </c>
      <c r="L179" s="750"/>
      <c r="M179" s="1415" t="e">
        <f>M175-M176</f>
        <v>#VALUE!</v>
      </c>
      <c r="N179" s="1416"/>
      <c r="O179" s="1415" t="e">
        <f t="shared" si="79"/>
        <v>#VALUE!</v>
      </c>
      <c r="P179" s="1417"/>
      <c r="Q179" s="862"/>
      <c r="R179" s="868">
        <f>R175-R176</f>
        <v>0</v>
      </c>
      <c r="S179" s="871">
        <f t="shared" si="82"/>
        <v>0</v>
      </c>
      <c r="T179"/>
      <c r="U179"/>
    </row>
    <row r="180" spans="2:21" s="406" customFormat="1" ht="22.15" customHeight="1" x14ac:dyDescent="0.15">
      <c r="B180" s="1426" t="s">
        <v>267</v>
      </c>
      <c r="C180" s="1427"/>
      <c r="D180" s="802" t="s">
        <v>35</v>
      </c>
      <c r="E180" s="813" t="s">
        <v>253</v>
      </c>
      <c r="F180" s="804" t="s">
        <v>37</v>
      </c>
      <c r="G180" s="814" t="s">
        <v>253</v>
      </c>
      <c r="H180" s="804" t="s">
        <v>37</v>
      </c>
      <c r="I180" s="836" t="s">
        <v>21</v>
      </c>
      <c r="J180" s="837" t="s">
        <v>253</v>
      </c>
      <c r="K180" s="838" t="s">
        <v>37</v>
      </c>
      <c r="L180" s="839" t="s">
        <v>21</v>
      </c>
      <c r="M180" s="1428" t="s">
        <v>253</v>
      </c>
      <c r="N180" s="1429"/>
      <c r="O180" s="1428" t="s">
        <v>37</v>
      </c>
      <c r="P180" s="1430"/>
      <c r="Q180" s="859" t="s">
        <v>21</v>
      </c>
      <c r="R180" s="860" t="s">
        <v>269</v>
      </c>
      <c r="S180" s="861" t="s">
        <v>37</v>
      </c>
      <c r="T180"/>
      <c r="U180"/>
    </row>
    <row r="181" spans="2:21" s="406" customFormat="1" ht="14.1" customHeight="1" outlineLevel="1" x14ac:dyDescent="0.15">
      <c r="B181" s="467">
        <v>1</v>
      </c>
      <c r="C181" s="815" t="s">
        <v>86</v>
      </c>
      <c r="D181" s="534"/>
      <c r="E181" s="816">
        <f>E69</f>
        <v>6249</v>
      </c>
      <c r="F181" s="473">
        <f t="shared" ref="F181:F185" si="84">E181/F$29*10000</f>
        <v>816.72673073791395</v>
      </c>
      <c r="G181" s="817">
        <f>J181</f>
        <v>25655.181802999999</v>
      </c>
      <c r="H181" s="818">
        <f>K181</f>
        <v>3353.0601312931699</v>
      </c>
      <c r="I181" s="840"/>
      <c r="J181" s="561">
        <f>30000-J185</f>
        <v>25655.181802999999</v>
      </c>
      <c r="K181" s="473">
        <f t="shared" ref="K181:K185" si="85">J181/$F$29*10000</f>
        <v>3353.0601312931699</v>
      </c>
      <c r="L181" s="750"/>
      <c r="M181" s="1431">
        <f>J181</f>
        <v>25655.181802999999</v>
      </c>
      <c r="N181" s="1436"/>
      <c r="O181" s="1437">
        <f t="shared" ref="O181:O185" si="86">M181/$F$29*10000</f>
        <v>3353.0601312931699</v>
      </c>
      <c r="P181" s="1433"/>
      <c r="Q181" s="862"/>
      <c r="R181" s="615">
        <f>R154</f>
        <v>25655.181802999999</v>
      </c>
      <c r="S181" s="616">
        <f t="shared" ref="S181:S185" si="87">R181/$F$29*10000</f>
        <v>3353.0601312931699</v>
      </c>
      <c r="T181"/>
      <c r="U181"/>
    </row>
    <row r="182" spans="2:21" s="406" customFormat="1" ht="14.1" customHeight="1" outlineLevel="1" x14ac:dyDescent="0.15">
      <c r="B182" s="467">
        <v>2</v>
      </c>
      <c r="C182" s="815" t="s">
        <v>270</v>
      </c>
      <c r="D182" s="534"/>
      <c r="E182" s="806">
        <v>0</v>
      </c>
      <c r="F182" s="473">
        <f t="shared" si="84"/>
        <v>0</v>
      </c>
      <c r="G182" s="808"/>
      <c r="H182" s="473">
        <f t="shared" ref="H182:H185" si="88">G182/F$29*10000</f>
        <v>0</v>
      </c>
      <c r="I182" s="840"/>
      <c r="J182" s="561"/>
      <c r="K182" s="473">
        <f t="shared" si="85"/>
        <v>0</v>
      </c>
      <c r="L182" s="750"/>
      <c r="M182" s="1431"/>
      <c r="N182" s="1436"/>
      <c r="O182" s="1437">
        <f t="shared" si="86"/>
        <v>0</v>
      </c>
      <c r="P182" s="1433"/>
      <c r="Q182" s="862"/>
      <c r="R182" s="615">
        <f>R155</f>
        <v>0</v>
      </c>
      <c r="S182" s="616">
        <f t="shared" si="87"/>
        <v>0</v>
      </c>
      <c r="T182"/>
      <c r="U182"/>
    </row>
    <row r="183" spans="2:21" s="406" customFormat="1" ht="14.1" customHeight="1" outlineLevel="1" x14ac:dyDescent="0.15">
      <c r="B183" s="467">
        <v>3</v>
      </c>
      <c r="C183" s="815" t="s">
        <v>271</v>
      </c>
      <c r="D183" s="534"/>
      <c r="E183" s="806">
        <f>E135</f>
        <v>0</v>
      </c>
      <c r="F183" s="473">
        <f t="shared" si="84"/>
        <v>0</v>
      </c>
      <c r="G183" s="808"/>
      <c r="H183" s="473">
        <f t="shared" si="88"/>
        <v>0</v>
      </c>
      <c r="I183" s="840"/>
      <c r="J183" s="561"/>
      <c r="K183" s="473">
        <f t="shared" si="85"/>
        <v>0</v>
      </c>
      <c r="L183" s="750"/>
      <c r="M183" s="1431"/>
      <c r="N183" s="1436"/>
      <c r="O183" s="1437">
        <f t="shared" si="86"/>
        <v>0</v>
      </c>
      <c r="P183" s="1433"/>
      <c r="Q183" s="862"/>
      <c r="R183" s="615">
        <f>R142*49%</f>
        <v>-4051.9753073755001</v>
      </c>
      <c r="S183" s="616">
        <f t="shared" si="87"/>
        <v>-529.58178041663405</v>
      </c>
      <c r="T183"/>
      <c r="U183"/>
    </row>
    <row r="184" spans="2:21" s="406" customFormat="1" ht="14.1" customHeight="1" x14ac:dyDescent="0.15">
      <c r="B184" s="467" t="s">
        <v>40</v>
      </c>
      <c r="C184" s="815" t="s">
        <v>257</v>
      </c>
      <c r="D184" s="534"/>
      <c r="E184" s="806">
        <f t="shared" ref="E184:H184" si="89">E183+E182+E181</f>
        <v>6249</v>
      </c>
      <c r="F184" s="473">
        <f t="shared" si="84"/>
        <v>816.72673073791395</v>
      </c>
      <c r="G184" s="819">
        <f t="shared" si="89"/>
        <v>25655.181802999999</v>
      </c>
      <c r="H184" s="473">
        <f t="shared" si="89"/>
        <v>3353.0601312931699</v>
      </c>
      <c r="I184" s="840"/>
      <c r="J184" s="572">
        <f>J183+J182+J181</f>
        <v>25655.181802999999</v>
      </c>
      <c r="K184" s="473">
        <f t="shared" si="85"/>
        <v>3353.0601312931699</v>
      </c>
      <c r="L184" s="750"/>
      <c r="M184" s="1415">
        <f>M183+M182+M181</f>
        <v>25655.181802999999</v>
      </c>
      <c r="N184" s="1416"/>
      <c r="O184" s="1415">
        <f t="shared" si="86"/>
        <v>3353.0601312931699</v>
      </c>
      <c r="P184" s="1417"/>
      <c r="Q184" s="862"/>
      <c r="R184" s="615">
        <f>R181+R182+R183</f>
        <v>21603.206495624501</v>
      </c>
      <c r="S184" s="616">
        <f t="shared" si="87"/>
        <v>2823.4783508765299</v>
      </c>
      <c r="T184"/>
      <c r="U184"/>
    </row>
    <row r="185" spans="2:21" s="406" customFormat="1" ht="14.1" customHeight="1" x14ac:dyDescent="0.15">
      <c r="B185" s="467" t="s">
        <v>45</v>
      </c>
      <c r="C185" s="815" t="s">
        <v>258</v>
      </c>
      <c r="D185" s="534"/>
      <c r="E185" s="820">
        <f>E66</f>
        <v>0</v>
      </c>
      <c r="F185" s="473">
        <f t="shared" si="84"/>
        <v>0</v>
      </c>
      <c r="G185" s="819">
        <f>J185</f>
        <v>4344.8181969999996</v>
      </c>
      <c r="H185" s="473">
        <f t="shared" si="88"/>
        <v>567.85552275346504</v>
      </c>
      <c r="I185" s="840"/>
      <c r="J185" s="572">
        <v>4344.8181969999996</v>
      </c>
      <c r="K185" s="473">
        <f t="shared" si="85"/>
        <v>567.85552275346504</v>
      </c>
      <c r="L185" s="750"/>
      <c r="M185" s="1415">
        <v>4344.8181969999996</v>
      </c>
      <c r="N185" s="1416"/>
      <c r="O185" s="1415">
        <f t="shared" si="86"/>
        <v>567.85552275346504</v>
      </c>
      <c r="P185" s="1417"/>
      <c r="Q185" s="862"/>
      <c r="R185" s="615">
        <f>R158</f>
        <v>4344.8181969999996</v>
      </c>
      <c r="S185" s="616">
        <f t="shared" si="87"/>
        <v>567.85552275346504</v>
      </c>
      <c r="T185"/>
      <c r="U185"/>
    </row>
    <row r="186" spans="2:21" s="406" customFormat="1" ht="14.1" customHeight="1" x14ac:dyDescent="0.15">
      <c r="B186" s="467" t="s">
        <v>83</v>
      </c>
      <c r="C186" s="815" t="s">
        <v>261</v>
      </c>
      <c r="D186" s="534"/>
      <c r="E186" s="811" t="e">
        <f t="shared" ref="E186:H186" si="90">E184/E185</f>
        <v>#DIV/0!</v>
      </c>
      <c r="F186" s="812" t="e">
        <f>F184/F185</f>
        <v>#DIV/0!</v>
      </c>
      <c r="G186" s="821">
        <f t="shared" si="90"/>
        <v>5.9047768260394298</v>
      </c>
      <c r="H186" s="812">
        <f t="shared" si="90"/>
        <v>5.9047768260394298</v>
      </c>
      <c r="I186" s="840"/>
      <c r="J186" s="845">
        <f t="shared" ref="J186:M186" si="91">J181/J185</f>
        <v>5.9047768260394298</v>
      </c>
      <c r="K186" s="812">
        <f t="shared" si="91"/>
        <v>5.9047768260394298</v>
      </c>
      <c r="L186" s="846"/>
      <c r="M186" s="1415">
        <f t="shared" si="91"/>
        <v>5.9047768260394298</v>
      </c>
      <c r="N186" s="1416"/>
      <c r="O186" s="1415">
        <f>O181/O185</f>
        <v>5.9047768260394298</v>
      </c>
      <c r="P186" s="1417"/>
      <c r="Q186" s="872"/>
      <c r="R186" s="865">
        <f>R181/R185</f>
        <v>5.9047768260394298</v>
      </c>
      <c r="S186" s="869">
        <f>S181/S185</f>
        <v>5.9047768260394298</v>
      </c>
      <c r="T186"/>
      <c r="U186"/>
    </row>
    <row r="187" spans="2:21" s="413" customFormat="1" ht="14.1" customHeight="1" x14ac:dyDescent="0.15">
      <c r="B187" s="467" t="s">
        <v>105</v>
      </c>
      <c r="C187" s="468" t="s">
        <v>262</v>
      </c>
      <c r="D187" s="534"/>
      <c r="E187" s="806">
        <f t="shared" ref="E187:J187" si="92">E184+E185</f>
        <v>6249</v>
      </c>
      <c r="F187" s="473">
        <f t="shared" ref="F187:F190" si="93">E187/F$29*10000</f>
        <v>816.72673073791395</v>
      </c>
      <c r="G187" s="808">
        <f t="shared" si="92"/>
        <v>30000</v>
      </c>
      <c r="H187" s="510">
        <f t="shared" ref="H187:H190" si="94">G187/F$29*10000</f>
        <v>3920.9156540466302</v>
      </c>
      <c r="I187" s="840"/>
      <c r="J187" s="843">
        <f t="shared" si="92"/>
        <v>30000</v>
      </c>
      <c r="K187" s="510">
        <f t="shared" ref="K187:K191" si="95">J187/$F$29*10000</f>
        <v>3920.9156540466302</v>
      </c>
      <c r="L187" s="847"/>
      <c r="M187" s="1415">
        <f>M184+M185</f>
        <v>30000</v>
      </c>
      <c r="N187" s="1416"/>
      <c r="O187" s="1415">
        <f t="shared" ref="O187:O191" si="96">M187/$F$29*10000</f>
        <v>3920.9156540466302</v>
      </c>
      <c r="P187" s="1417"/>
      <c r="Q187" s="862"/>
      <c r="R187" s="791">
        <f>R184+R185</f>
        <v>25948.024692624502</v>
      </c>
      <c r="S187" s="616">
        <f t="shared" ref="S187:S191" si="97">R187/$F$29*10000</f>
        <v>3391.3338736300002</v>
      </c>
      <c r="T187"/>
      <c r="U187"/>
    </row>
    <row r="188" spans="2:21" s="406" customFormat="1" ht="14.1" customHeight="1" x14ac:dyDescent="0.15">
      <c r="B188" s="467" t="s">
        <v>112</v>
      </c>
      <c r="C188" s="468" t="s">
        <v>263</v>
      </c>
      <c r="D188" s="534"/>
      <c r="E188" s="806">
        <f>E187</f>
        <v>6249</v>
      </c>
      <c r="F188" s="473">
        <f t="shared" si="93"/>
        <v>816.72673073791395</v>
      </c>
      <c r="G188" s="808">
        <f>G189+G190</f>
        <v>27903.153431999999</v>
      </c>
      <c r="H188" s="510">
        <f t="shared" si="94"/>
        <v>3646.8637029597899</v>
      </c>
      <c r="I188" s="840"/>
      <c r="J188" s="844">
        <f>279031534.32/10000</f>
        <v>27903.153431999999</v>
      </c>
      <c r="K188" s="510">
        <f t="shared" si="95"/>
        <v>3646.8637029597899</v>
      </c>
      <c r="L188" s="847"/>
      <c r="M188" s="1415">
        <f>279031534.32/10000</f>
        <v>27903.153431999999</v>
      </c>
      <c r="N188" s="1416"/>
      <c r="O188" s="1415">
        <f t="shared" si="96"/>
        <v>3646.8637029597899</v>
      </c>
      <c r="P188" s="1417"/>
      <c r="Q188" s="862"/>
      <c r="R188" s="615">
        <f>279031534.32/10000</f>
        <v>27903.153431999999</v>
      </c>
      <c r="S188" s="616">
        <f t="shared" si="97"/>
        <v>3646.8637029597899</v>
      </c>
      <c r="T188"/>
      <c r="U188"/>
    </row>
    <row r="189" spans="2:21" s="406" customFormat="1" ht="14.1" customHeight="1" outlineLevel="1" x14ac:dyDescent="0.15">
      <c r="B189" s="467">
        <v>5.0999999999999996</v>
      </c>
      <c r="C189" s="468" t="s">
        <v>264</v>
      </c>
      <c r="D189" s="534"/>
      <c r="E189" s="806">
        <f t="shared" ref="E189:J189" si="98">E185</f>
        <v>0</v>
      </c>
      <c r="F189" s="473">
        <f t="shared" si="93"/>
        <v>0</v>
      </c>
      <c r="G189" s="808">
        <f t="shared" si="98"/>
        <v>4344.8181969999996</v>
      </c>
      <c r="H189" s="510">
        <f t="shared" si="94"/>
        <v>567.85552275346504</v>
      </c>
      <c r="I189" s="840"/>
      <c r="J189" s="844">
        <f t="shared" si="98"/>
        <v>4344.8181969999996</v>
      </c>
      <c r="K189" s="510">
        <f t="shared" si="95"/>
        <v>567.85552275346504</v>
      </c>
      <c r="L189" s="847"/>
      <c r="M189" s="1415">
        <f>M185</f>
        <v>4344.8181969999996</v>
      </c>
      <c r="N189" s="1416"/>
      <c r="O189" s="1415">
        <f t="shared" si="96"/>
        <v>567.85552275346504</v>
      </c>
      <c r="P189" s="1417"/>
      <c r="Q189" s="862"/>
      <c r="R189" s="615">
        <f>R185</f>
        <v>4344.8181969999996</v>
      </c>
      <c r="S189" s="616">
        <f t="shared" si="97"/>
        <v>567.85552275346504</v>
      </c>
      <c r="T189"/>
      <c r="U189"/>
    </row>
    <row r="190" spans="2:21" s="406" customFormat="1" ht="14.1" customHeight="1" outlineLevel="1" x14ac:dyDescent="0.15">
      <c r="B190" s="467">
        <v>5.2</v>
      </c>
      <c r="C190" s="468" t="s">
        <v>265</v>
      </c>
      <c r="D190" s="534"/>
      <c r="E190" s="806">
        <f>E184</f>
        <v>6249</v>
      </c>
      <c r="F190" s="473">
        <f t="shared" si="93"/>
        <v>816.72673073791395</v>
      </c>
      <c r="G190" s="808">
        <f>J190</f>
        <v>23558.335234999999</v>
      </c>
      <c r="H190" s="510">
        <f t="shared" si="94"/>
        <v>3079.0081802063301</v>
      </c>
      <c r="I190" s="840"/>
      <c r="J190" s="844">
        <f>J188-J189</f>
        <v>23558.335234999999</v>
      </c>
      <c r="K190" s="510">
        <f t="shared" si="95"/>
        <v>3079.0081802063301</v>
      </c>
      <c r="L190" s="847"/>
      <c r="M190" s="1415">
        <f>M188-M189</f>
        <v>23558.335234999999</v>
      </c>
      <c r="N190" s="1416"/>
      <c r="O190" s="1415">
        <f t="shared" si="96"/>
        <v>3079.0081802063301</v>
      </c>
      <c r="P190" s="1417"/>
      <c r="Q190" s="862"/>
      <c r="R190" s="615">
        <f>R188-R189</f>
        <v>23558.335234999999</v>
      </c>
      <c r="S190" s="616">
        <f t="shared" si="97"/>
        <v>3079.0081802063301</v>
      </c>
      <c r="T190"/>
      <c r="U190"/>
    </row>
    <row r="191" spans="2:21" s="406" customFormat="1" ht="14.1" customHeight="1" x14ac:dyDescent="0.15">
      <c r="B191" s="822" t="s">
        <v>115</v>
      </c>
      <c r="C191" s="823" t="s">
        <v>266</v>
      </c>
      <c r="D191" s="824"/>
      <c r="E191" s="825">
        <f t="shared" ref="E191:H191" si="99">E187-E188</f>
        <v>0</v>
      </c>
      <c r="F191" s="826"/>
      <c r="G191" s="827">
        <f t="shared" si="99"/>
        <v>2096.8465679999999</v>
      </c>
      <c r="H191" s="826">
        <f t="shared" si="99"/>
        <v>274.05195108683802</v>
      </c>
      <c r="I191" s="848"/>
      <c r="J191" s="849">
        <f>J187-J188</f>
        <v>2096.8465679999999</v>
      </c>
      <c r="K191" s="826">
        <f t="shared" si="95"/>
        <v>274.05195108683898</v>
      </c>
      <c r="L191" s="850"/>
      <c r="M191" s="1415">
        <f>M187-M188</f>
        <v>2096.8465679999999</v>
      </c>
      <c r="N191" s="1416"/>
      <c r="O191" s="1415">
        <f t="shared" si="96"/>
        <v>274.05195108683898</v>
      </c>
      <c r="P191" s="1417"/>
      <c r="Q191" s="873"/>
      <c r="R191" s="874">
        <f>R187-R188</f>
        <v>-1955.1287393754999</v>
      </c>
      <c r="S191" s="875">
        <f t="shared" si="97"/>
        <v>-255.52982932979501</v>
      </c>
      <c r="T191"/>
      <c r="U191"/>
    </row>
    <row r="192" spans="2:21" s="406" customFormat="1" ht="14.1" customHeight="1" x14ac:dyDescent="0.15">
      <c r="B192" s="828"/>
      <c r="C192" s="829"/>
      <c r="D192" s="830"/>
      <c r="E192" s="831"/>
      <c r="F192" s="832"/>
      <c r="G192" s="832"/>
      <c r="H192" s="832"/>
      <c r="I192" s="851"/>
      <c r="J192" s="852"/>
      <c r="K192" s="832"/>
      <c r="L192" s="853"/>
      <c r="M192" s="854"/>
      <c r="N192" s="854"/>
      <c r="O192" s="854"/>
      <c r="P192" s="854"/>
      <c r="Q192" s="876"/>
      <c r="R192" s="877"/>
      <c r="S192" s="877"/>
      <c r="T192" s="877"/>
      <c r="U192" s="877"/>
    </row>
    <row r="193" spans="2:21" s="406" customFormat="1" ht="116.1" customHeight="1" x14ac:dyDescent="0.15">
      <c r="B193" s="1438" t="s">
        <v>272</v>
      </c>
      <c r="C193" s="1439"/>
      <c r="D193" s="1439"/>
      <c r="E193" s="1439"/>
      <c r="F193" s="1439"/>
      <c r="G193" s="1439"/>
      <c r="H193" s="1439"/>
      <c r="I193" s="1440"/>
      <c r="J193" s="1439"/>
      <c r="K193" s="1439"/>
      <c r="L193" s="1441"/>
      <c r="M193" s="1439"/>
      <c r="N193" s="1439"/>
      <c r="O193" s="1439"/>
      <c r="P193" s="1439"/>
      <c r="Q193" s="1441"/>
      <c r="R193" s="1439"/>
      <c r="S193" s="1439"/>
      <c r="T193" s="1439"/>
      <c r="U193" s="1442"/>
    </row>
    <row r="194" spans="2:21" x14ac:dyDescent="0.15">
      <c r="M194" s="420"/>
      <c r="N194" s="420"/>
    </row>
    <row r="195" spans="2:21" x14ac:dyDescent="0.15">
      <c r="M195" s="420"/>
      <c r="N195" s="420"/>
    </row>
    <row r="201" spans="2:21" x14ac:dyDescent="0.15">
      <c r="G201" s="878"/>
      <c r="H201" s="878"/>
      <c r="I201" s="879"/>
      <c r="J201" s="880"/>
    </row>
  </sheetData>
  <mergeCells count="280">
    <mergeCell ref="B111:B113"/>
    <mergeCell ref="B114:B123"/>
    <mergeCell ref="B124:B130"/>
    <mergeCell ref="B131:B133"/>
    <mergeCell ref="M188:N188"/>
    <mergeCell ref="O188:P188"/>
    <mergeCell ref="M189:N189"/>
    <mergeCell ref="O189:P189"/>
    <mergeCell ref="M190:N190"/>
    <mergeCell ref="O190:P190"/>
    <mergeCell ref="M179:N179"/>
    <mergeCell ref="O179:P179"/>
    <mergeCell ref="B180:C180"/>
    <mergeCell ref="M180:N180"/>
    <mergeCell ref="O180:P180"/>
    <mergeCell ref="M181:N181"/>
    <mergeCell ref="O181:P181"/>
    <mergeCell ref="M182:N182"/>
    <mergeCell ref="O182:P182"/>
    <mergeCell ref="M174:N174"/>
    <mergeCell ref="O174:P174"/>
    <mergeCell ref="M175:N175"/>
    <mergeCell ref="O175:P175"/>
    <mergeCell ref="M176:N176"/>
    <mergeCell ref="M191:N191"/>
    <mergeCell ref="O191:P191"/>
    <mergeCell ref="B193:U193"/>
    <mergeCell ref="M183:N183"/>
    <mergeCell ref="O183:P183"/>
    <mergeCell ref="M184:N184"/>
    <mergeCell ref="O184:P184"/>
    <mergeCell ref="M185:N185"/>
    <mergeCell ref="O185:P185"/>
    <mergeCell ref="M186:N186"/>
    <mergeCell ref="O186:P186"/>
    <mergeCell ref="M187:N187"/>
    <mergeCell ref="O187:P187"/>
    <mergeCell ref="O176:P176"/>
    <mergeCell ref="M177:N177"/>
    <mergeCell ref="O177:P177"/>
    <mergeCell ref="M178:N178"/>
    <mergeCell ref="O178:P178"/>
    <mergeCell ref="M169:N169"/>
    <mergeCell ref="O169:P169"/>
    <mergeCell ref="M170:N170"/>
    <mergeCell ref="O170:P170"/>
    <mergeCell ref="M171:N171"/>
    <mergeCell ref="O171:P171"/>
    <mergeCell ref="M172:N172"/>
    <mergeCell ref="O172:P172"/>
    <mergeCell ref="M173:N173"/>
    <mergeCell ref="O173:P173"/>
    <mergeCell ref="M164:N164"/>
    <mergeCell ref="O164:P164"/>
    <mergeCell ref="B166:C166"/>
    <mergeCell ref="M166:N166"/>
    <mergeCell ref="O166:P166"/>
    <mergeCell ref="M167:N167"/>
    <mergeCell ref="O167:P167"/>
    <mergeCell ref="M168:N168"/>
    <mergeCell ref="O168:P168"/>
    <mergeCell ref="M159:N159"/>
    <mergeCell ref="O159:P159"/>
    <mergeCell ref="M160:N160"/>
    <mergeCell ref="O160:P160"/>
    <mergeCell ref="M161:N161"/>
    <mergeCell ref="O161:P161"/>
    <mergeCell ref="M162:N162"/>
    <mergeCell ref="O162:P162"/>
    <mergeCell ref="M163:N163"/>
    <mergeCell ref="O163:P163"/>
    <mergeCell ref="M154:N154"/>
    <mergeCell ref="O154:P154"/>
    <mergeCell ref="M155:N155"/>
    <mergeCell ref="O155:P155"/>
    <mergeCell ref="M156:N156"/>
    <mergeCell ref="O156:P156"/>
    <mergeCell ref="M157:N157"/>
    <mergeCell ref="O157:P157"/>
    <mergeCell ref="M158:N158"/>
    <mergeCell ref="O158:P158"/>
    <mergeCell ref="M150:N150"/>
    <mergeCell ref="O150:P150"/>
    <mergeCell ref="M151:N151"/>
    <mergeCell ref="O151:P151"/>
    <mergeCell ref="M152:N152"/>
    <mergeCell ref="O152:P152"/>
    <mergeCell ref="B153:C153"/>
    <mergeCell ref="M153:N153"/>
    <mergeCell ref="O153:P153"/>
    <mergeCell ref="M145:N145"/>
    <mergeCell ref="O145:P145"/>
    <mergeCell ref="M146:N146"/>
    <mergeCell ref="O146:P146"/>
    <mergeCell ref="M147:N147"/>
    <mergeCell ref="O147:P147"/>
    <mergeCell ref="M148:N148"/>
    <mergeCell ref="O148:P148"/>
    <mergeCell ref="M149:N149"/>
    <mergeCell ref="O149:P149"/>
    <mergeCell ref="M140:N140"/>
    <mergeCell ref="O140:P140"/>
    <mergeCell ref="M141:N141"/>
    <mergeCell ref="O141:P141"/>
    <mergeCell ref="M142:N142"/>
    <mergeCell ref="O142:P142"/>
    <mergeCell ref="M143:N143"/>
    <mergeCell ref="O143:P143"/>
    <mergeCell ref="M144:N144"/>
    <mergeCell ref="O144:P144"/>
    <mergeCell ref="B136:C136"/>
    <mergeCell ref="M136:N136"/>
    <mergeCell ref="O136:P136"/>
    <mergeCell ref="B137:C137"/>
    <mergeCell ref="M137:N137"/>
    <mergeCell ref="O137:P137"/>
    <mergeCell ref="T138:U138"/>
    <mergeCell ref="B139:C139"/>
    <mergeCell ref="M139:N139"/>
    <mergeCell ref="O139:P139"/>
    <mergeCell ref="M131:N131"/>
    <mergeCell ref="O131:P131"/>
    <mergeCell ref="M132:N132"/>
    <mergeCell ref="O132:P132"/>
    <mergeCell ref="M133:N133"/>
    <mergeCell ref="O133:P133"/>
    <mergeCell ref="M134:N134"/>
    <mergeCell ref="O134:P134"/>
    <mergeCell ref="B135:C135"/>
    <mergeCell ref="M135:N135"/>
    <mergeCell ref="O135:P135"/>
    <mergeCell ref="M126:N126"/>
    <mergeCell ref="O126:P126"/>
    <mergeCell ref="M127:N127"/>
    <mergeCell ref="O127:P127"/>
    <mergeCell ref="M128:N128"/>
    <mergeCell ref="O128:P128"/>
    <mergeCell ref="M129:N129"/>
    <mergeCell ref="O129:P129"/>
    <mergeCell ref="M130:N130"/>
    <mergeCell ref="O130:P130"/>
    <mergeCell ref="M121:N121"/>
    <mergeCell ref="O121:P121"/>
    <mergeCell ref="M122:N122"/>
    <mergeCell ref="O122:P122"/>
    <mergeCell ref="M123:N123"/>
    <mergeCell ref="O123:P123"/>
    <mergeCell ref="M124:N124"/>
    <mergeCell ref="O124:P124"/>
    <mergeCell ref="M125:N125"/>
    <mergeCell ref="O125:P125"/>
    <mergeCell ref="M116:N116"/>
    <mergeCell ref="O116:P116"/>
    <mergeCell ref="M117:N117"/>
    <mergeCell ref="O117:P117"/>
    <mergeCell ref="M118:N118"/>
    <mergeCell ref="O118:P118"/>
    <mergeCell ref="M119:N119"/>
    <mergeCell ref="O119:P119"/>
    <mergeCell ref="M120:N120"/>
    <mergeCell ref="O120:P120"/>
    <mergeCell ref="M111:N111"/>
    <mergeCell ref="O111:P111"/>
    <mergeCell ref="M112:N112"/>
    <mergeCell ref="O112:P112"/>
    <mergeCell ref="M113:N113"/>
    <mergeCell ref="O113:P113"/>
    <mergeCell ref="M114:N114"/>
    <mergeCell ref="O114:P114"/>
    <mergeCell ref="M115:N115"/>
    <mergeCell ref="O115:P115"/>
    <mergeCell ref="M76:N76"/>
    <mergeCell ref="O76:P76"/>
    <mergeCell ref="M77:N77"/>
    <mergeCell ref="O77:P77"/>
    <mergeCell ref="B78:C78"/>
    <mergeCell ref="B79:C79"/>
    <mergeCell ref="M109:N109"/>
    <mergeCell ref="O109:P109"/>
    <mergeCell ref="M110:N110"/>
    <mergeCell ref="O110:P110"/>
    <mergeCell ref="M71:N71"/>
    <mergeCell ref="O71:P71"/>
    <mergeCell ref="M72:N72"/>
    <mergeCell ref="O72:P72"/>
    <mergeCell ref="M73:N73"/>
    <mergeCell ref="O73:P73"/>
    <mergeCell ref="M74:N74"/>
    <mergeCell ref="O74:P74"/>
    <mergeCell ref="M75:N75"/>
    <mergeCell ref="O75:P75"/>
    <mergeCell ref="M66:N66"/>
    <mergeCell ref="O66:P66"/>
    <mergeCell ref="M67:N67"/>
    <mergeCell ref="O67:P67"/>
    <mergeCell ref="M68:N68"/>
    <mergeCell ref="O68:P68"/>
    <mergeCell ref="M69:N69"/>
    <mergeCell ref="O69:P69"/>
    <mergeCell ref="M70:N70"/>
    <mergeCell ref="O70:P70"/>
    <mergeCell ref="M61:N61"/>
    <mergeCell ref="O61:P61"/>
    <mergeCell ref="M62:N62"/>
    <mergeCell ref="O62:P62"/>
    <mergeCell ref="M63:N63"/>
    <mergeCell ref="O63:P63"/>
    <mergeCell ref="M64:N64"/>
    <mergeCell ref="O64:P64"/>
    <mergeCell ref="M65:N65"/>
    <mergeCell ref="O65:P65"/>
    <mergeCell ref="M56:N56"/>
    <mergeCell ref="O56:P56"/>
    <mergeCell ref="M57:N57"/>
    <mergeCell ref="O57:P57"/>
    <mergeCell ref="M58:N58"/>
    <mergeCell ref="O58:P58"/>
    <mergeCell ref="M59:N59"/>
    <mergeCell ref="O59:P59"/>
    <mergeCell ref="M60:N60"/>
    <mergeCell ref="O60:P60"/>
    <mergeCell ref="M51:N51"/>
    <mergeCell ref="O51:P51"/>
    <mergeCell ref="M52:N52"/>
    <mergeCell ref="O52:P52"/>
    <mergeCell ref="M53:N53"/>
    <mergeCell ref="O53:P53"/>
    <mergeCell ref="M54:N54"/>
    <mergeCell ref="O54:P54"/>
    <mergeCell ref="M55:N55"/>
    <mergeCell ref="O55:P55"/>
    <mergeCell ref="M46:N46"/>
    <mergeCell ref="O46:P46"/>
    <mergeCell ref="M47:N47"/>
    <mergeCell ref="O47:P47"/>
    <mergeCell ref="M48:N48"/>
    <mergeCell ref="O48:P48"/>
    <mergeCell ref="M49:N49"/>
    <mergeCell ref="O49:P49"/>
    <mergeCell ref="M50:N50"/>
    <mergeCell ref="O50:P50"/>
    <mergeCell ref="M41:N41"/>
    <mergeCell ref="O41:P41"/>
    <mergeCell ref="M42:N42"/>
    <mergeCell ref="O42:P42"/>
    <mergeCell ref="M43:N43"/>
    <mergeCell ref="O43:P43"/>
    <mergeCell ref="M44:N44"/>
    <mergeCell ref="O44:P44"/>
    <mergeCell ref="M45:N45"/>
    <mergeCell ref="O45:P45"/>
    <mergeCell ref="M36:N36"/>
    <mergeCell ref="O36:P36"/>
    <mergeCell ref="M37:N37"/>
    <mergeCell ref="O37:P37"/>
    <mergeCell ref="M38:N38"/>
    <mergeCell ref="O38:P38"/>
    <mergeCell ref="M39:N39"/>
    <mergeCell ref="O39:P39"/>
    <mergeCell ref="M40:N40"/>
    <mergeCell ref="O40:P40"/>
    <mergeCell ref="B31:C31"/>
    <mergeCell ref="O31:P31"/>
    <mergeCell ref="M32:N32"/>
    <mergeCell ref="O32:P32"/>
    <mergeCell ref="M33:N33"/>
    <mergeCell ref="O33:P33"/>
    <mergeCell ref="M34:N34"/>
    <mergeCell ref="O34:P34"/>
    <mergeCell ref="M35:N35"/>
    <mergeCell ref="O35:P35"/>
    <mergeCell ref="B13:C13"/>
    <mergeCell ref="D13:F13"/>
    <mergeCell ref="G13:H13"/>
    <mergeCell ref="I13:K13"/>
    <mergeCell ref="L13:P13"/>
    <mergeCell ref="Q13:S13"/>
    <mergeCell ref="B30:C30"/>
    <mergeCell ref="M30:N30"/>
    <mergeCell ref="O30:P30"/>
  </mergeCells>
  <phoneticPr fontId="62" type="noConversion"/>
  <pageMargins left="0.75" right="0.75" top="1" bottom="1" header="0.5" footer="0.5"/>
  <drawing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Q260"/>
  <sheetViews>
    <sheetView zoomScale="70" zoomScaleNormal="70" workbookViewId="0">
      <pane xSplit="5" ySplit="4" topLeftCell="N109" activePane="bottomRight" state="frozen"/>
      <selection pane="topRight"/>
      <selection pane="bottomLeft"/>
      <selection pane="bottomRight" activeCell="O121" sqref="O121"/>
    </sheetView>
  </sheetViews>
  <sheetFormatPr defaultColWidth="9.75" defaultRowHeight="13.5" outlineLevelRow="3" x14ac:dyDescent="0.15"/>
  <cols>
    <col min="1" max="1" width="11.125" style="6" customWidth="1"/>
    <col min="2" max="2" width="20.5" style="7" customWidth="1"/>
    <col min="3" max="3" width="16.5" style="8" customWidth="1"/>
    <col min="4" max="4" width="13.25" style="9" customWidth="1"/>
    <col min="5" max="5" width="24.625" style="9" customWidth="1"/>
    <col min="6" max="6" width="93" style="8" customWidth="1"/>
    <col min="7" max="7" width="91.25" style="9" customWidth="1"/>
    <col min="8" max="8" width="40.125" style="9" customWidth="1"/>
    <col min="9" max="9" width="28.625" style="9" customWidth="1"/>
    <col min="10" max="10" width="59.625" style="9" customWidth="1"/>
    <col min="11" max="11" width="52.5" customWidth="1"/>
    <col min="12" max="12" width="27.75" customWidth="1"/>
    <col min="13" max="13" width="82.875" customWidth="1"/>
    <col min="14" max="14" width="52.625" customWidth="1"/>
    <col min="15" max="15" width="40.375" style="13" customWidth="1"/>
    <col min="16" max="16" width="9.5" style="13"/>
    <col min="17" max="17" width="15.375" style="9" customWidth="1"/>
    <col min="18" max="16384" width="9.75" style="9"/>
  </cols>
  <sheetData>
    <row r="1" spans="1:17" ht="38.1" customHeight="1" x14ac:dyDescent="0.15">
      <c r="A1" s="1443" t="s">
        <v>273</v>
      </c>
      <c r="B1" s="1443"/>
      <c r="C1" s="1443"/>
      <c r="D1" s="1443"/>
      <c r="E1" s="1443"/>
      <c r="F1" s="1443"/>
      <c r="G1" s="1443"/>
      <c r="H1" s="326"/>
      <c r="I1" s="326"/>
      <c r="J1" s="326"/>
    </row>
    <row r="2" spans="1:17" customFormat="1" ht="49.9" customHeight="1" x14ac:dyDescent="0.15">
      <c r="A2" s="1444" t="s">
        <v>274</v>
      </c>
      <c r="B2" s="1445"/>
      <c r="C2" s="1445"/>
      <c r="D2" s="1445"/>
      <c r="E2" s="1445"/>
      <c r="F2" s="295" t="s">
        <v>275</v>
      </c>
      <c r="G2" s="295" t="s">
        <v>276</v>
      </c>
      <c r="H2" s="295" t="s">
        <v>277</v>
      </c>
      <c r="I2" s="1446" t="s">
        <v>278</v>
      </c>
      <c r="J2" s="1447"/>
      <c r="K2" s="1448" t="s">
        <v>279</v>
      </c>
      <c r="L2" s="1449"/>
      <c r="M2" s="274" t="s">
        <v>280</v>
      </c>
      <c r="N2" s="274" t="s">
        <v>281</v>
      </c>
      <c r="O2" s="1450" t="s">
        <v>282</v>
      </c>
      <c r="P2" s="1451"/>
      <c r="Q2" t="s">
        <v>283</v>
      </c>
    </row>
    <row r="3" spans="1:17" s="1" customFormat="1" ht="29.65" customHeight="1" x14ac:dyDescent="0.15">
      <c r="A3" s="1452" t="s">
        <v>284</v>
      </c>
      <c r="B3" s="1453"/>
      <c r="C3" s="1454">
        <v>43857</v>
      </c>
      <c r="D3" s="1455"/>
      <c r="E3" s="1455"/>
      <c r="F3" s="296" t="s">
        <v>285</v>
      </c>
      <c r="G3" s="296" t="s">
        <v>286</v>
      </c>
      <c r="H3" s="327">
        <v>44090</v>
      </c>
      <c r="I3" s="338"/>
      <c r="J3" s="338"/>
      <c r="K3" s="1456" t="s">
        <v>287</v>
      </c>
      <c r="L3" s="1457"/>
      <c r="M3" s="69" t="s">
        <v>288</v>
      </c>
      <c r="N3" s="327">
        <v>44981</v>
      </c>
      <c r="O3" s="92" t="s">
        <v>289</v>
      </c>
      <c r="P3" s="137" t="s">
        <v>290</v>
      </c>
    </row>
    <row r="4" spans="1:17" ht="17.100000000000001" customHeight="1" x14ac:dyDescent="0.15">
      <c r="A4" s="17" t="s">
        <v>291</v>
      </c>
      <c r="B4" s="18"/>
      <c r="C4" s="19"/>
      <c r="D4" s="20"/>
      <c r="E4" s="20"/>
      <c r="F4" s="328"/>
      <c r="G4" s="329"/>
      <c r="H4" s="330"/>
      <c r="I4" s="339"/>
      <c r="J4" s="339"/>
      <c r="K4" s="328"/>
      <c r="L4" s="340"/>
      <c r="M4" s="341"/>
      <c r="N4" s="341"/>
      <c r="O4" s="95"/>
      <c r="P4" s="138"/>
    </row>
    <row r="5" spans="1:17" s="2" customFormat="1" ht="21.75" customHeight="1" x14ac:dyDescent="0.3">
      <c r="A5" s="1468" t="s">
        <v>292</v>
      </c>
      <c r="B5" s="24" t="s">
        <v>293</v>
      </c>
      <c r="C5" s="1458" t="s">
        <v>294</v>
      </c>
      <c r="D5" s="1458"/>
      <c r="E5" s="1458"/>
      <c r="F5" s="278" t="s">
        <v>294</v>
      </c>
      <c r="G5" s="278" t="s">
        <v>294</v>
      </c>
      <c r="H5" s="281"/>
      <c r="I5" s="342"/>
      <c r="J5" s="342"/>
      <c r="K5" s="278"/>
      <c r="L5" s="343"/>
      <c r="M5" s="344" t="s">
        <v>294</v>
      </c>
      <c r="N5" s="282"/>
      <c r="O5" s="97"/>
      <c r="P5" s="139"/>
    </row>
    <row r="6" spans="1:17" s="2" customFormat="1" ht="14.45" customHeight="1" x14ac:dyDescent="0.3">
      <c r="A6" s="1468"/>
      <c r="B6" s="25" t="s">
        <v>295</v>
      </c>
      <c r="C6" s="1458" t="s">
        <v>296</v>
      </c>
      <c r="D6" s="1458"/>
      <c r="E6" s="1458"/>
      <c r="F6" s="278" t="s">
        <v>296</v>
      </c>
      <c r="G6" s="278" t="s">
        <v>296</v>
      </c>
      <c r="H6" s="281"/>
      <c r="I6" s="342"/>
      <c r="J6" s="342"/>
      <c r="K6" s="301"/>
      <c r="L6" s="345"/>
      <c r="M6" s="280"/>
      <c r="N6" s="280"/>
      <c r="O6" s="97"/>
      <c r="P6" s="139"/>
    </row>
    <row r="7" spans="1:17" s="2" customFormat="1" ht="14.45" customHeight="1" x14ac:dyDescent="0.3">
      <c r="A7" s="1468"/>
      <c r="B7" s="25" t="s">
        <v>297</v>
      </c>
      <c r="C7" s="1458" t="s">
        <v>298</v>
      </c>
      <c r="D7" s="1458"/>
      <c r="E7" s="1458"/>
      <c r="F7" s="278" t="s">
        <v>298</v>
      </c>
      <c r="G7" s="278" t="s">
        <v>298</v>
      </c>
      <c r="H7" s="281"/>
      <c r="I7" s="342"/>
      <c r="J7" s="342"/>
      <c r="K7" s="301"/>
      <c r="L7" s="345"/>
      <c r="M7" s="280"/>
      <c r="N7" s="280"/>
      <c r="O7" s="97"/>
      <c r="P7" s="139"/>
    </row>
    <row r="8" spans="1:17" s="2" customFormat="1" ht="14.45" customHeight="1" x14ac:dyDescent="0.3">
      <c r="A8" s="1468"/>
      <c r="B8" s="25" t="s">
        <v>299</v>
      </c>
      <c r="C8" s="1458" t="s">
        <v>300</v>
      </c>
      <c r="D8" s="1458"/>
      <c r="E8" s="1458"/>
      <c r="F8" s="278" t="s">
        <v>300</v>
      </c>
      <c r="G8" s="278" t="s">
        <v>300</v>
      </c>
      <c r="H8" s="281"/>
      <c r="I8" s="342"/>
      <c r="J8" s="342"/>
      <c r="K8" s="301"/>
      <c r="L8" s="345"/>
      <c r="M8" s="280"/>
      <c r="N8" s="280"/>
      <c r="O8" s="97"/>
      <c r="P8" s="139"/>
    </row>
    <row r="9" spans="1:17" s="2" customFormat="1" ht="57" x14ac:dyDescent="0.3">
      <c r="A9" s="1468" t="s">
        <v>301</v>
      </c>
      <c r="B9" s="25" t="s">
        <v>302</v>
      </c>
      <c r="C9" s="1458"/>
      <c r="D9" s="1458"/>
      <c r="E9" s="1458"/>
      <c r="F9" s="278" t="s">
        <v>303</v>
      </c>
      <c r="G9" s="278" t="s">
        <v>303</v>
      </c>
      <c r="H9" s="281" t="s">
        <v>303</v>
      </c>
      <c r="I9" s="342"/>
      <c r="J9" s="342"/>
      <c r="K9" s="59" t="s">
        <v>303</v>
      </c>
      <c r="L9" s="344"/>
      <c r="M9" s="344" t="s">
        <v>303</v>
      </c>
      <c r="N9" s="282" t="s">
        <v>304</v>
      </c>
      <c r="O9" s="97"/>
      <c r="P9" s="139"/>
    </row>
    <row r="10" spans="1:17" s="2" customFormat="1" ht="57" x14ac:dyDescent="0.3">
      <c r="A10" s="1468"/>
      <c r="B10" s="25" t="s">
        <v>302</v>
      </c>
      <c r="C10" s="1458"/>
      <c r="D10" s="1458"/>
      <c r="E10" s="1458"/>
      <c r="F10" s="278" t="s">
        <v>305</v>
      </c>
      <c r="G10" s="278" t="s">
        <v>305</v>
      </c>
      <c r="H10" s="281" t="s">
        <v>306</v>
      </c>
      <c r="I10" s="342"/>
      <c r="J10" s="342"/>
      <c r="K10" s="59" t="s">
        <v>305</v>
      </c>
      <c r="L10" s="344"/>
      <c r="M10" s="344" t="s">
        <v>305</v>
      </c>
      <c r="N10" s="282" t="s">
        <v>307</v>
      </c>
      <c r="O10" s="97"/>
      <c r="P10" s="139"/>
    </row>
    <row r="11" spans="1:17" s="2" customFormat="1" ht="28.5" x14ac:dyDescent="0.3">
      <c r="A11" s="1468"/>
      <c r="B11" s="25"/>
      <c r="C11" s="331"/>
      <c r="D11" s="331"/>
      <c r="E11" s="331"/>
      <c r="F11" s="278"/>
      <c r="G11" s="278"/>
      <c r="H11" s="281"/>
      <c r="I11" s="346"/>
      <c r="J11" s="346"/>
      <c r="K11" s="59" t="s">
        <v>308</v>
      </c>
      <c r="L11" s="344"/>
      <c r="M11" s="344" t="s">
        <v>308</v>
      </c>
      <c r="N11" s="282"/>
      <c r="O11" s="97"/>
      <c r="P11" s="139"/>
    </row>
    <row r="12" spans="1:17" s="2" customFormat="1" ht="28.5" x14ac:dyDescent="0.3">
      <c r="A12" s="1468"/>
      <c r="B12" s="25" t="s">
        <v>302</v>
      </c>
      <c r="C12" s="1459" t="s">
        <v>302</v>
      </c>
      <c r="D12" s="1459"/>
      <c r="E12" s="1459"/>
      <c r="F12" s="59"/>
      <c r="G12" s="59"/>
      <c r="H12" s="282"/>
      <c r="I12" s="32"/>
      <c r="J12" s="32"/>
      <c r="K12" s="59" t="s">
        <v>309</v>
      </c>
      <c r="L12" s="344"/>
      <c r="M12" s="344" t="s">
        <v>309</v>
      </c>
      <c r="N12" s="282"/>
      <c r="O12" s="97"/>
      <c r="P12" s="139"/>
    </row>
    <row r="13" spans="1:17" s="2" customFormat="1" ht="14.45" customHeight="1" x14ac:dyDescent="0.3">
      <c r="A13" s="1468" t="s">
        <v>310</v>
      </c>
      <c r="B13" s="25" t="s">
        <v>311</v>
      </c>
      <c r="C13" s="1458">
        <v>2021.12</v>
      </c>
      <c r="D13" s="1458"/>
      <c r="E13" s="1458"/>
      <c r="F13" s="278"/>
      <c r="G13" s="332"/>
      <c r="H13" s="273"/>
      <c r="K13" s="347"/>
      <c r="L13" s="348"/>
      <c r="M13" s="349"/>
      <c r="N13" s="349"/>
      <c r="O13" s="97"/>
      <c r="P13" s="139"/>
    </row>
    <row r="14" spans="1:17" s="2" customFormat="1" ht="14.45" customHeight="1" x14ac:dyDescent="0.3">
      <c r="A14" s="1468"/>
      <c r="B14" s="25" t="s">
        <v>312</v>
      </c>
      <c r="C14" s="1458">
        <v>2021.03</v>
      </c>
      <c r="D14" s="1458"/>
      <c r="E14" s="1458"/>
      <c r="F14" s="278"/>
      <c r="G14" s="332"/>
      <c r="H14" s="273"/>
      <c r="K14" s="350"/>
      <c r="L14" s="351"/>
      <c r="M14" s="352"/>
      <c r="N14" s="352"/>
      <c r="O14" s="97"/>
      <c r="P14" s="139"/>
    </row>
    <row r="15" spans="1:17" s="2" customFormat="1" ht="14.45" customHeight="1" x14ac:dyDescent="0.3">
      <c r="A15" s="1468"/>
      <c r="B15" s="25" t="s">
        <v>313</v>
      </c>
      <c r="C15" s="1460"/>
      <c r="D15" s="1460"/>
      <c r="E15" s="1460"/>
      <c r="F15" s="278"/>
      <c r="G15" s="332"/>
      <c r="H15" s="273"/>
      <c r="K15" s="353"/>
      <c r="L15" s="354"/>
      <c r="M15" s="355"/>
      <c r="N15" s="355"/>
      <c r="O15" s="97"/>
      <c r="P15" s="139"/>
    </row>
    <row r="16" spans="1:17" s="2" customFormat="1" ht="14.45" customHeight="1" x14ac:dyDescent="0.3">
      <c r="A16" s="1468"/>
      <c r="B16" s="25" t="s">
        <v>314</v>
      </c>
      <c r="C16" s="1460"/>
      <c r="D16" s="1460"/>
      <c r="E16" s="1460"/>
      <c r="F16" s="278"/>
      <c r="G16" s="332"/>
      <c r="H16" s="273"/>
      <c r="K16" s="353"/>
      <c r="L16" s="354"/>
      <c r="M16" s="355"/>
      <c r="N16" s="355"/>
      <c r="O16" s="97"/>
      <c r="P16" s="139"/>
    </row>
    <row r="17" spans="1:16" s="2" customFormat="1" ht="14.45" customHeight="1" x14ac:dyDescent="0.3">
      <c r="A17" s="1468"/>
      <c r="B17" s="25" t="s">
        <v>315</v>
      </c>
      <c r="C17" s="1458">
        <v>2022.03</v>
      </c>
      <c r="D17" s="1458"/>
      <c r="E17" s="1458"/>
      <c r="F17" s="278"/>
      <c r="G17" s="332"/>
      <c r="H17" s="273"/>
      <c r="K17" s="356"/>
      <c r="L17" s="357"/>
      <c r="M17" s="358"/>
      <c r="N17" s="358"/>
      <c r="O17" s="97"/>
      <c r="P17" s="139"/>
    </row>
    <row r="18" spans="1:16" s="2" customFormat="1" ht="14.45" customHeight="1" x14ac:dyDescent="0.3">
      <c r="A18" s="1468"/>
      <c r="B18" s="25" t="s">
        <v>316</v>
      </c>
      <c r="C18" s="1460"/>
      <c r="D18" s="1460"/>
      <c r="E18" s="1460"/>
      <c r="F18" s="278"/>
      <c r="G18" s="332"/>
      <c r="H18" s="273"/>
      <c r="K18" s="356"/>
      <c r="L18" s="357"/>
      <c r="M18" s="358"/>
      <c r="N18" s="358"/>
      <c r="O18" s="97"/>
      <c r="P18" s="139"/>
    </row>
    <row r="19" spans="1:16" s="2" customFormat="1" ht="14.45" customHeight="1" x14ac:dyDescent="0.3">
      <c r="A19" s="1468"/>
      <c r="B19" s="25" t="s">
        <v>317</v>
      </c>
      <c r="C19" s="1460"/>
      <c r="D19" s="1460"/>
      <c r="E19" s="1460"/>
      <c r="F19" s="278"/>
      <c r="G19" s="332"/>
      <c r="H19" s="273"/>
      <c r="K19" s="353"/>
      <c r="L19" s="354"/>
      <c r="M19" s="355"/>
      <c r="N19" s="355"/>
      <c r="O19" s="97"/>
      <c r="P19" s="139"/>
    </row>
    <row r="20" spans="1:16" s="2" customFormat="1" ht="14.45" customHeight="1" x14ac:dyDescent="0.3">
      <c r="A20" s="1468"/>
      <c r="B20" s="25" t="s">
        <v>318</v>
      </c>
      <c r="C20" s="1458">
        <v>2022.08</v>
      </c>
      <c r="D20" s="1458"/>
      <c r="E20" s="1458"/>
      <c r="F20" s="278"/>
      <c r="G20" s="332"/>
      <c r="H20" s="273"/>
      <c r="K20" s="356"/>
      <c r="L20" s="357"/>
      <c r="M20" s="358"/>
      <c r="N20" s="358"/>
      <c r="O20" s="97"/>
      <c r="P20" s="139"/>
    </row>
    <row r="21" spans="1:16" s="2" customFormat="1" ht="14.45" customHeight="1" x14ac:dyDescent="0.3">
      <c r="A21" s="1468"/>
      <c r="B21" s="25" t="s">
        <v>319</v>
      </c>
      <c r="C21" s="1460"/>
      <c r="D21" s="1460"/>
      <c r="E21" s="1460"/>
      <c r="F21" s="278"/>
      <c r="G21" s="332"/>
      <c r="H21" s="273"/>
      <c r="K21" s="350"/>
      <c r="L21" s="351"/>
      <c r="M21" s="352"/>
      <c r="N21" s="352"/>
      <c r="O21" s="97"/>
      <c r="P21" s="139"/>
    </row>
    <row r="22" spans="1:16" s="2" customFormat="1" ht="14.45" customHeight="1" x14ac:dyDescent="0.3">
      <c r="A22" s="1468"/>
      <c r="B22" s="25" t="s">
        <v>320</v>
      </c>
      <c r="C22" s="1460"/>
      <c r="D22" s="1460"/>
      <c r="E22" s="1460"/>
      <c r="F22" s="278"/>
      <c r="G22" s="332"/>
      <c r="H22" s="273"/>
      <c r="K22" s="359"/>
      <c r="L22" s="360"/>
      <c r="M22" s="361"/>
      <c r="N22" s="361"/>
      <c r="O22" s="97"/>
      <c r="P22" s="139"/>
    </row>
    <row r="23" spans="1:16" s="2" customFormat="1" ht="14.45" customHeight="1" x14ac:dyDescent="0.3">
      <c r="A23" s="1468"/>
      <c r="B23" s="25" t="s">
        <v>321</v>
      </c>
      <c r="C23" s="1460"/>
      <c r="D23" s="1460"/>
      <c r="E23" s="1460"/>
      <c r="F23" s="278"/>
      <c r="G23" s="332"/>
      <c r="H23" s="273"/>
      <c r="K23" s="356"/>
      <c r="L23" s="357"/>
      <c r="M23" s="358"/>
      <c r="N23" s="358"/>
      <c r="O23" s="97"/>
      <c r="P23" s="139"/>
    </row>
    <row r="24" spans="1:16" s="2" customFormat="1" ht="14.45" customHeight="1" x14ac:dyDescent="0.3">
      <c r="A24" s="1468"/>
      <c r="B24" s="25" t="s">
        <v>322</v>
      </c>
      <c r="C24" s="1460"/>
      <c r="D24" s="1460"/>
      <c r="E24" s="1460"/>
      <c r="F24" s="278"/>
      <c r="G24" s="332"/>
      <c r="H24" s="273"/>
      <c r="K24" s="359"/>
      <c r="L24" s="360"/>
      <c r="M24" s="361"/>
      <c r="N24" s="361"/>
      <c r="O24" s="97"/>
      <c r="P24" s="139"/>
    </row>
    <row r="25" spans="1:16" s="2" customFormat="1" ht="14.45" customHeight="1" x14ac:dyDescent="0.3">
      <c r="A25" s="1468"/>
      <c r="B25" s="25" t="s">
        <v>323</v>
      </c>
      <c r="C25" s="1458" t="s">
        <v>324</v>
      </c>
      <c r="D25" s="1458"/>
      <c r="E25" s="1458"/>
      <c r="F25" s="278" t="s">
        <v>325</v>
      </c>
      <c r="G25" s="278" t="s">
        <v>325</v>
      </c>
      <c r="H25" s="281"/>
      <c r="I25" s="342"/>
      <c r="J25" s="342"/>
      <c r="K25" s="356"/>
      <c r="L25" s="357"/>
      <c r="M25" s="358"/>
      <c r="N25" s="358"/>
      <c r="O25" s="97"/>
      <c r="P25" s="139"/>
    </row>
    <row r="26" spans="1:16" s="2" customFormat="1" ht="14.45" customHeight="1" x14ac:dyDescent="0.3">
      <c r="A26" s="1468"/>
      <c r="B26" s="25" t="s">
        <v>326</v>
      </c>
      <c r="C26" s="1458" t="s">
        <v>209</v>
      </c>
      <c r="D26" s="1458"/>
      <c r="E26" s="1458"/>
      <c r="F26" s="278" t="s">
        <v>209</v>
      </c>
      <c r="G26" s="278" t="s">
        <v>209</v>
      </c>
      <c r="H26" s="281"/>
      <c r="I26" s="342"/>
      <c r="J26" s="342"/>
      <c r="K26" s="356"/>
      <c r="L26" s="357"/>
      <c r="M26" s="358"/>
      <c r="N26" s="358"/>
      <c r="O26" s="97"/>
      <c r="P26" s="139"/>
    </row>
    <row r="27" spans="1:16" s="2" customFormat="1" ht="14.45" customHeight="1" x14ac:dyDescent="0.3">
      <c r="A27" s="1468"/>
      <c r="B27" s="25" t="s">
        <v>327</v>
      </c>
      <c r="C27" s="1458">
        <v>3.5</v>
      </c>
      <c r="D27" s="1458"/>
      <c r="E27" s="1458"/>
      <c r="F27" s="278">
        <v>3.5</v>
      </c>
      <c r="G27" s="278">
        <v>3.5</v>
      </c>
      <c r="H27" s="281"/>
      <c r="I27" s="342"/>
      <c r="J27" s="342"/>
      <c r="K27" s="356"/>
      <c r="L27" s="357"/>
      <c r="M27" s="358"/>
      <c r="N27" s="358"/>
      <c r="O27" s="97"/>
      <c r="P27" s="139"/>
    </row>
    <row r="28" spans="1:16" s="2" customFormat="1" ht="14.45" customHeight="1" x14ac:dyDescent="0.3">
      <c r="A28" s="1468"/>
      <c r="B28" s="25" t="s">
        <v>328</v>
      </c>
      <c r="C28" s="1461">
        <f>350000+84210+6000</f>
        <v>440210</v>
      </c>
      <c r="D28" s="1461"/>
      <c r="E28" s="1461"/>
      <c r="F28" s="278" t="s">
        <v>302</v>
      </c>
      <c r="G28" s="278" t="s">
        <v>302</v>
      </c>
      <c r="H28" s="281"/>
      <c r="I28" s="342"/>
      <c r="J28" s="342"/>
      <c r="K28" s="362"/>
      <c r="L28" s="363"/>
      <c r="M28" s="364"/>
      <c r="N28" s="364"/>
      <c r="O28" s="97"/>
      <c r="P28" s="139"/>
    </row>
    <row r="29" spans="1:16" s="2" customFormat="1" ht="14.45" customHeight="1" outlineLevel="1" x14ac:dyDescent="0.3">
      <c r="A29" s="1468"/>
      <c r="B29" s="25" t="s">
        <v>329</v>
      </c>
      <c r="C29" s="1458" t="s">
        <v>302</v>
      </c>
      <c r="D29" s="1458"/>
      <c r="E29" s="1458"/>
      <c r="F29" s="278" t="s">
        <v>302</v>
      </c>
      <c r="G29" s="278" t="s">
        <v>302</v>
      </c>
      <c r="H29" s="281"/>
      <c r="I29" s="342"/>
      <c r="J29" s="342"/>
      <c r="K29" s="356"/>
      <c r="L29" s="357"/>
      <c r="M29" s="358"/>
      <c r="N29" s="358"/>
      <c r="O29" s="97"/>
      <c r="P29" s="139"/>
    </row>
    <row r="30" spans="1:16" s="2" customFormat="1" ht="14.45" customHeight="1" outlineLevel="1" x14ac:dyDescent="0.3">
      <c r="A30" s="1468"/>
      <c r="B30" s="25" t="s">
        <v>330</v>
      </c>
      <c r="C30" s="1458" t="s">
        <v>331</v>
      </c>
      <c r="D30" s="1458"/>
      <c r="E30" s="1458"/>
      <c r="F30" s="278" t="s">
        <v>332</v>
      </c>
      <c r="G30" s="278" t="s">
        <v>332</v>
      </c>
      <c r="H30" s="281"/>
      <c r="I30" s="342"/>
      <c r="J30" s="342"/>
      <c r="K30" s="356"/>
      <c r="L30" s="357"/>
      <c r="M30" s="358"/>
      <c r="N30" s="358"/>
      <c r="O30" s="97"/>
      <c r="P30" s="139"/>
    </row>
    <row r="31" spans="1:16" s="2" customFormat="1" ht="14.45" customHeight="1" outlineLevel="1" x14ac:dyDescent="0.3">
      <c r="A31" s="1468"/>
      <c r="B31" s="25" t="s">
        <v>333</v>
      </c>
      <c r="C31" s="1458" t="s">
        <v>334</v>
      </c>
      <c r="D31" s="1458"/>
      <c r="E31" s="1458"/>
      <c r="F31" s="278" t="s">
        <v>302</v>
      </c>
      <c r="G31" s="278" t="s">
        <v>302</v>
      </c>
      <c r="H31" s="281"/>
      <c r="I31" s="342"/>
      <c r="J31" s="342"/>
      <c r="K31" s="356"/>
      <c r="L31" s="357"/>
      <c r="M31" s="358"/>
      <c r="N31" s="358"/>
      <c r="O31" s="97"/>
      <c r="P31" s="139"/>
    </row>
    <row r="32" spans="1:16" s="2" customFormat="1" ht="14.45" customHeight="1" x14ac:dyDescent="0.3">
      <c r="A32" s="1468"/>
      <c r="B32" s="25" t="s">
        <v>335</v>
      </c>
      <c r="C32" s="1458" t="s">
        <v>336</v>
      </c>
      <c r="D32" s="1458"/>
      <c r="E32" s="1458"/>
      <c r="F32" s="278" t="s">
        <v>302</v>
      </c>
      <c r="G32" s="332"/>
      <c r="H32" s="273"/>
      <c r="I32" s="365"/>
      <c r="J32" s="365"/>
      <c r="K32" s="356"/>
      <c r="L32" s="357"/>
      <c r="M32" s="358"/>
      <c r="N32" s="358"/>
      <c r="O32" s="97"/>
      <c r="P32" s="139"/>
    </row>
    <row r="33" spans="1:16" s="2" customFormat="1" ht="14.45" customHeight="1" x14ac:dyDescent="0.3">
      <c r="A33" s="1468"/>
      <c r="B33" s="25" t="s">
        <v>337</v>
      </c>
      <c r="C33" s="1458" t="s">
        <v>338</v>
      </c>
      <c r="D33" s="1458"/>
      <c r="E33" s="1458"/>
      <c r="F33" s="278" t="s">
        <v>302</v>
      </c>
      <c r="G33" s="332"/>
      <c r="H33" s="273"/>
      <c r="I33" s="365"/>
      <c r="J33" s="365"/>
      <c r="K33" s="356"/>
      <c r="L33" s="357"/>
      <c r="M33" s="358"/>
      <c r="N33" s="358"/>
      <c r="O33" s="97"/>
      <c r="P33" s="139"/>
    </row>
    <row r="34" spans="1:16" s="2" customFormat="1" ht="14.45" customHeight="1" x14ac:dyDescent="0.3">
      <c r="A34" s="1468"/>
      <c r="B34" s="25" t="s">
        <v>339</v>
      </c>
      <c r="C34" s="1458"/>
      <c r="D34" s="1458"/>
      <c r="E34" s="1458"/>
      <c r="F34" s="278" t="s">
        <v>302</v>
      </c>
      <c r="G34" s="332"/>
      <c r="H34" s="273"/>
      <c r="I34" s="365"/>
      <c r="J34" s="365"/>
      <c r="K34" s="356"/>
      <c r="L34" s="357"/>
      <c r="M34" s="358"/>
      <c r="N34" s="358"/>
      <c r="O34" s="97"/>
      <c r="P34" s="139"/>
    </row>
    <row r="35" spans="1:16" s="2" customFormat="1" ht="29.1" customHeight="1" x14ac:dyDescent="0.3">
      <c r="A35" s="1468"/>
      <c r="B35" s="25" t="s">
        <v>340</v>
      </c>
      <c r="C35" s="1458" t="s">
        <v>341</v>
      </c>
      <c r="D35" s="1458"/>
      <c r="E35" s="1458"/>
      <c r="F35" s="278" t="s">
        <v>302</v>
      </c>
      <c r="G35" s="332"/>
      <c r="H35" s="273"/>
      <c r="I35" s="365"/>
      <c r="J35" s="365"/>
      <c r="K35" s="356"/>
      <c r="L35" s="357"/>
      <c r="M35" s="358"/>
      <c r="N35" s="358"/>
      <c r="O35" s="97"/>
      <c r="P35" s="139"/>
    </row>
    <row r="36" spans="1:16" s="2" customFormat="1" ht="31.9" customHeight="1" x14ac:dyDescent="0.3">
      <c r="A36" s="1468" t="s">
        <v>342</v>
      </c>
      <c r="B36" s="25" t="s">
        <v>343</v>
      </c>
      <c r="C36" s="1458" t="s">
        <v>344</v>
      </c>
      <c r="D36" s="1458"/>
      <c r="E36" s="1458"/>
      <c r="F36" s="59" t="s">
        <v>344</v>
      </c>
      <c r="G36" s="332"/>
      <c r="H36" s="273"/>
      <c r="I36" s="365"/>
      <c r="J36" s="365"/>
      <c r="K36" s="356"/>
      <c r="L36" s="357"/>
      <c r="M36" s="358"/>
      <c r="N36" s="358"/>
      <c r="O36" s="97"/>
      <c r="P36" s="139"/>
    </row>
    <row r="37" spans="1:16" s="2" customFormat="1" ht="52.5" customHeight="1" x14ac:dyDescent="0.3">
      <c r="A37" s="1468"/>
      <c r="B37" s="25" t="s">
        <v>345</v>
      </c>
      <c r="C37" s="1458">
        <f>10000</f>
        <v>10000</v>
      </c>
      <c r="D37" s="1458"/>
      <c r="E37" s="1458"/>
      <c r="F37" s="301" t="s">
        <v>346</v>
      </c>
      <c r="G37" s="332"/>
      <c r="H37" s="273"/>
      <c r="I37" s="365"/>
      <c r="J37" s="365"/>
      <c r="K37" s="59" t="s">
        <v>347</v>
      </c>
      <c r="L37" s="357"/>
      <c r="M37" s="358"/>
      <c r="N37" s="358"/>
      <c r="O37" s="97"/>
      <c r="P37" s="139"/>
    </row>
    <row r="38" spans="1:16" s="2" customFormat="1" ht="14.25" x14ac:dyDescent="0.3">
      <c r="A38" s="1468"/>
      <c r="B38" s="1459" t="s">
        <v>348</v>
      </c>
      <c r="C38" s="1458" t="s">
        <v>67</v>
      </c>
      <c r="D38" s="1458"/>
      <c r="E38" s="1458"/>
      <c r="F38" s="59" t="s">
        <v>349</v>
      </c>
      <c r="G38" s="332"/>
      <c r="H38" s="273"/>
      <c r="I38" s="365"/>
      <c r="J38" s="365"/>
      <c r="K38" s="356"/>
      <c r="L38" s="357"/>
      <c r="M38" s="358"/>
      <c r="N38" s="358"/>
      <c r="O38" s="97"/>
      <c r="P38" s="139"/>
    </row>
    <row r="39" spans="1:16" s="2" customFormat="1" ht="57" x14ac:dyDescent="0.3">
      <c r="A39" s="1468"/>
      <c r="B39" s="1459"/>
      <c r="C39" s="1458" t="s">
        <v>350</v>
      </c>
      <c r="D39" s="1458"/>
      <c r="E39" s="1458"/>
      <c r="F39" s="59" t="s">
        <v>351</v>
      </c>
      <c r="G39" s="332"/>
      <c r="H39" s="273"/>
      <c r="I39" s="365"/>
      <c r="J39" s="365"/>
      <c r="K39" s="356"/>
      <c r="L39" s="357"/>
      <c r="M39" s="358"/>
      <c r="N39" s="358"/>
      <c r="O39" s="97"/>
      <c r="P39" s="139"/>
    </row>
    <row r="40" spans="1:16" s="2" customFormat="1" ht="81.599999999999994" customHeight="1" x14ac:dyDescent="0.3">
      <c r="A40" s="1468"/>
      <c r="B40" s="1459"/>
      <c r="C40" s="1458" t="s">
        <v>352</v>
      </c>
      <c r="D40" s="1458"/>
      <c r="E40" s="1458"/>
      <c r="F40" s="59" t="s">
        <v>353</v>
      </c>
      <c r="G40" s="332"/>
      <c r="H40" s="273"/>
      <c r="I40" s="365"/>
      <c r="J40" s="365"/>
      <c r="K40" s="356"/>
      <c r="L40" s="357"/>
      <c r="M40" s="358"/>
      <c r="N40" s="358"/>
      <c r="O40" s="97"/>
      <c r="P40" s="139"/>
    </row>
    <row r="41" spans="1:16" s="2" customFormat="1" ht="28.5" x14ac:dyDescent="0.3">
      <c r="A41" s="1468"/>
      <c r="B41" s="25" t="s">
        <v>354</v>
      </c>
      <c r="C41" s="1458" t="s">
        <v>355</v>
      </c>
      <c r="D41" s="1458"/>
      <c r="E41" s="1458"/>
      <c r="F41" s="59" t="s">
        <v>356</v>
      </c>
      <c r="G41" s="332"/>
      <c r="H41" s="273"/>
      <c r="I41" s="365"/>
      <c r="J41" s="365"/>
      <c r="K41" s="356" t="s">
        <v>357</v>
      </c>
      <c r="L41" s="357"/>
      <c r="M41" s="358"/>
      <c r="N41" s="358"/>
      <c r="O41" s="97"/>
      <c r="P41" s="139"/>
    </row>
    <row r="42" spans="1:16" s="2" customFormat="1" ht="124.15" customHeight="1" x14ac:dyDescent="0.3">
      <c r="A42" s="23" t="s">
        <v>358</v>
      </c>
      <c r="B42" s="25"/>
      <c r="C42" s="1458"/>
      <c r="D42" s="1458"/>
      <c r="E42" s="1458"/>
      <c r="F42" s="59" t="s">
        <v>359</v>
      </c>
      <c r="G42" s="332"/>
      <c r="H42" s="273"/>
      <c r="I42" s="365"/>
      <c r="J42" s="365"/>
      <c r="K42" s="356"/>
      <c r="L42" s="357"/>
      <c r="M42" s="358"/>
      <c r="N42" s="358"/>
      <c r="O42" s="97"/>
      <c r="P42" s="139"/>
    </row>
    <row r="43" spans="1:16" s="2" customFormat="1" ht="216.6" customHeight="1" x14ac:dyDescent="0.3">
      <c r="A43" s="23" t="s">
        <v>360</v>
      </c>
      <c r="B43" s="25"/>
      <c r="C43" s="1458"/>
      <c r="D43" s="1458"/>
      <c r="E43" s="1458"/>
      <c r="F43" s="59"/>
      <c r="G43" s="59" t="s">
        <v>361</v>
      </c>
      <c r="H43" s="282"/>
      <c r="I43" s="284"/>
      <c r="J43" s="284"/>
      <c r="K43" s="59" t="s">
        <v>362</v>
      </c>
      <c r="L43" s="344"/>
      <c r="M43" s="344" t="s">
        <v>363</v>
      </c>
      <c r="N43" s="282"/>
      <c r="O43" s="97"/>
      <c r="P43" s="139"/>
    </row>
    <row r="44" spans="1:16" s="2" customFormat="1" ht="274.35000000000002" customHeight="1" x14ac:dyDescent="0.3">
      <c r="A44" s="23" t="s">
        <v>364</v>
      </c>
      <c r="B44" s="25"/>
      <c r="C44" s="283"/>
      <c r="D44" s="283"/>
      <c r="E44" s="283"/>
      <c r="F44" s="59" t="s">
        <v>365</v>
      </c>
      <c r="G44" s="332"/>
      <c r="H44" s="273"/>
      <c r="I44" s="365"/>
      <c r="J44" s="365"/>
      <c r="K44" s="59"/>
      <c r="L44" s="344"/>
      <c r="M44" s="282"/>
      <c r="N44" s="282"/>
      <c r="O44" s="97"/>
      <c r="P44" s="139"/>
    </row>
    <row r="45" spans="1:16" s="2" customFormat="1" ht="71.25" x14ac:dyDescent="0.3">
      <c r="A45" s="1468" t="s">
        <v>366</v>
      </c>
      <c r="B45" s="31" t="s">
        <v>367</v>
      </c>
      <c r="C45" s="284"/>
      <c r="D45" s="284"/>
      <c r="E45" s="284"/>
      <c r="F45" s="333" t="s">
        <v>368</v>
      </c>
      <c r="G45" s="332"/>
      <c r="H45" s="273"/>
      <c r="I45" s="365"/>
      <c r="J45" s="365"/>
      <c r="K45" s="356"/>
      <c r="L45" s="357"/>
      <c r="M45" s="358"/>
      <c r="N45" s="358"/>
      <c r="O45" s="97"/>
      <c r="P45" s="139"/>
    </row>
    <row r="46" spans="1:16" s="2" customFormat="1" ht="19.350000000000001" customHeight="1" x14ac:dyDescent="0.3">
      <c r="A46" s="1468"/>
      <c r="B46" s="31" t="s">
        <v>369</v>
      </c>
      <c r="C46" s="283"/>
      <c r="D46" s="283"/>
      <c r="E46" s="283"/>
      <c r="F46" s="333" t="s">
        <v>370</v>
      </c>
      <c r="G46" s="332"/>
      <c r="H46" s="273"/>
      <c r="I46" s="365"/>
      <c r="J46" s="365"/>
      <c r="K46" s="356"/>
      <c r="L46" s="357"/>
      <c r="M46" s="358"/>
      <c r="N46" s="358"/>
      <c r="O46" s="97"/>
      <c r="P46" s="139"/>
    </row>
    <row r="47" spans="1:16" s="2" customFormat="1" ht="19.350000000000001" customHeight="1" x14ac:dyDescent="0.3">
      <c r="A47" s="1468"/>
      <c r="B47" s="31" t="s">
        <v>371</v>
      </c>
      <c r="C47" s="283"/>
      <c r="D47" s="283"/>
      <c r="E47" s="283"/>
      <c r="F47" s="333" t="s">
        <v>372</v>
      </c>
      <c r="G47" s="332"/>
      <c r="H47" s="273"/>
      <c r="I47" s="365"/>
      <c r="J47" s="365"/>
      <c r="K47" s="356"/>
      <c r="L47" s="357"/>
      <c r="M47" s="358"/>
      <c r="N47" s="358"/>
      <c r="O47" s="97"/>
      <c r="P47" s="139"/>
    </row>
    <row r="48" spans="1:16" s="2" customFormat="1" ht="73.900000000000006" customHeight="1" x14ac:dyDescent="0.3">
      <c r="A48" s="23" t="s">
        <v>373</v>
      </c>
      <c r="B48" s="31"/>
      <c r="C48" s="25"/>
      <c r="D48" s="25"/>
      <c r="E48" s="25"/>
      <c r="F48" s="333"/>
      <c r="G48" s="332"/>
      <c r="H48" s="334" t="s">
        <v>374</v>
      </c>
      <c r="I48" s="366"/>
      <c r="J48" s="366"/>
      <c r="K48" s="59"/>
      <c r="L48" s="344"/>
      <c r="M48" s="282"/>
      <c r="N48" s="282" t="s">
        <v>375</v>
      </c>
      <c r="O48" s="97"/>
      <c r="P48" s="139"/>
    </row>
    <row r="49" spans="1:16" s="2" customFormat="1" ht="19.350000000000001" customHeight="1" x14ac:dyDescent="0.3">
      <c r="A49" s="23"/>
      <c r="B49" s="31"/>
      <c r="C49" s="25"/>
      <c r="D49" s="25"/>
      <c r="E49" s="25"/>
      <c r="F49" s="333"/>
      <c r="G49" s="332"/>
      <c r="H49" s="273"/>
      <c r="K49" s="59"/>
      <c r="L49" s="344"/>
      <c r="M49" s="282"/>
      <c r="N49" s="282"/>
      <c r="O49" s="97"/>
      <c r="P49" s="139"/>
    </row>
    <row r="50" spans="1:16" s="2" customFormat="1" ht="19.350000000000001" customHeight="1" x14ac:dyDescent="0.3">
      <c r="A50" s="23"/>
      <c r="B50" s="31"/>
      <c r="C50" s="25"/>
      <c r="D50" s="25"/>
      <c r="E50" s="25"/>
      <c r="F50" s="333"/>
      <c r="G50" s="332"/>
      <c r="H50" s="273"/>
      <c r="K50" s="59"/>
      <c r="L50" s="344"/>
      <c r="M50" s="282"/>
      <c r="N50" s="282"/>
      <c r="O50" s="97"/>
      <c r="P50" s="139"/>
    </row>
    <row r="51" spans="1:16" s="2" customFormat="1" ht="19.350000000000001" customHeight="1" x14ac:dyDescent="0.3">
      <c r="A51" s="23"/>
      <c r="B51" s="31"/>
      <c r="C51" s="25"/>
      <c r="D51" s="25"/>
      <c r="E51" s="25"/>
      <c r="F51" s="333"/>
      <c r="G51" s="332"/>
      <c r="H51" s="273"/>
      <c r="K51" s="356"/>
      <c r="L51" s="357"/>
      <c r="M51" s="358"/>
      <c r="N51" s="358"/>
      <c r="O51" s="97"/>
      <c r="P51" s="139"/>
    </row>
    <row r="52" spans="1:16" ht="19.350000000000001" customHeight="1" x14ac:dyDescent="0.15">
      <c r="A52" s="17" t="s">
        <v>376</v>
      </c>
      <c r="B52" s="18"/>
      <c r="C52" s="19"/>
      <c r="D52" s="20"/>
      <c r="E52" s="20"/>
      <c r="F52" s="328"/>
      <c r="G52" s="329"/>
      <c r="H52" s="330"/>
      <c r="I52" s="20"/>
      <c r="J52" s="20"/>
      <c r="K52" s="367"/>
      <c r="L52" s="368"/>
      <c r="M52" s="369"/>
      <c r="N52" s="369"/>
      <c r="O52" s="111"/>
      <c r="P52" s="140"/>
    </row>
    <row r="53" spans="1:16" ht="19.350000000000001" customHeight="1" x14ac:dyDescent="0.15">
      <c r="A53" s="1462" t="s">
        <v>15</v>
      </c>
      <c r="B53" s="1463"/>
      <c r="C53" s="288" t="s">
        <v>22</v>
      </c>
      <c r="D53" s="289" t="s">
        <v>37</v>
      </c>
      <c r="E53" s="289" t="s">
        <v>377</v>
      </c>
      <c r="F53" s="335"/>
      <c r="G53" s="336"/>
      <c r="H53" s="337"/>
      <c r="I53" s="370"/>
      <c r="J53" s="316" t="s">
        <v>378</v>
      </c>
      <c r="K53" s="371"/>
      <c r="L53" s="372"/>
      <c r="M53" s="373"/>
      <c r="N53" s="373"/>
      <c r="O53" s="287"/>
      <c r="P53" s="306"/>
    </row>
    <row r="54" spans="1:16" ht="19.350000000000001" customHeight="1" x14ac:dyDescent="0.15">
      <c r="A54" s="40" t="s">
        <v>40</v>
      </c>
      <c r="B54" s="41" t="s">
        <v>379</v>
      </c>
      <c r="C54" s="48">
        <f>C55+C56+C57</f>
        <v>403620</v>
      </c>
      <c r="D54" s="43" t="s">
        <v>302</v>
      </c>
      <c r="E54" s="290">
        <v>1</v>
      </c>
      <c r="F54" s="59"/>
      <c r="G54" s="60"/>
      <c r="H54" s="3"/>
      <c r="I54" s="307">
        <f>I55+I56+I57</f>
        <v>252200</v>
      </c>
      <c r="J54" s="307"/>
      <c r="K54" s="374"/>
      <c r="L54" s="375"/>
      <c r="M54" s="376"/>
      <c r="N54" s="376"/>
      <c r="O54" s="307"/>
      <c r="P54" s="144"/>
    </row>
    <row r="55" spans="1:16" ht="19.350000000000001" customHeight="1" x14ac:dyDescent="0.15">
      <c r="A55" s="47">
        <v>1</v>
      </c>
      <c r="B55" s="7" t="s">
        <v>60</v>
      </c>
      <c r="C55" s="48">
        <v>309560</v>
      </c>
      <c r="D55" s="43" t="s">
        <v>302</v>
      </c>
      <c r="E55" s="290">
        <f>C55/C54</f>
        <v>0.76695902086120604</v>
      </c>
      <c r="F55" s="59"/>
      <c r="G55" s="60"/>
      <c r="H55" s="3"/>
      <c r="I55" s="217">
        <v>156000</v>
      </c>
      <c r="J55" s="217" t="s">
        <v>380</v>
      </c>
      <c r="K55" s="377"/>
      <c r="L55" s="378"/>
      <c r="M55" s="376"/>
      <c r="N55" s="376"/>
      <c r="O55" s="217"/>
      <c r="P55" s="144"/>
    </row>
    <row r="56" spans="1:16" ht="19.350000000000001" customHeight="1" x14ac:dyDescent="0.15">
      <c r="A56" s="47">
        <v>2</v>
      </c>
      <c r="B56" s="7" t="s">
        <v>65</v>
      </c>
      <c r="C56" s="48">
        <v>70000</v>
      </c>
      <c r="D56" s="43" t="s">
        <v>302</v>
      </c>
      <c r="E56" s="290">
        <f>C56/C54</f>
        <v>0.17343045438779101</v>
      </c>
      <c r="F56" s="59"/>
      <c r="G56" s="60"/>
      <c r="H56" s="3"/>
      <c r="I56" s="217">
        <v>83200</v>
      </c>
      <c r="J56" s="217" t="s">
        <v>381</v>
      </c>
      <c r="K56" s="377"/>
      <c r="L56" s="378"/>
      <c r="M56" s="376"/>
      <c r="N56" s="376"/>
      <c r="O56" s="217"/>
      <c r="P56" s="144"/>
    </row>
    <row r="57" spans="1:16" ht="19.350000000000001" customHeight="1" x14ac:dyDescent="0.15">
      <c r="A57" s="47">
        <v>3</v>
      </c>
      <c r="B57" s="7" t="s">
        <v>71</v>
      </c>
      <c r="C57" s="48">
        <v>24060</v>
      </c>
      <c r="D57" s="43" t="s">
        <v>302</v>
      </c>
      <c r="E57" s="290">
        <f>C57/C54</f>
        <v>5.9610524751003403E-2</v>
      </c>
      <c r="F57" s="59"/>
      <c r="G57" s="60"/>
      <c r="H57" s="3"/>
      <c r="I57" s="217">
        <v>13000</v>
      </c>
      <c r="J57" s="217" t="s">
        <v>382</v>
      </c>
      <c r="K57" s="377"/>
      <c r="L57" s="378"/>
      <c r="M57" s="376"/>
      <c r="N57" s="376"/>
      <c r="O57" s="217"/>
      <c r="P57" s="144"/>
    </row>
    <row r="58" spans="1:16" ht="14.25" x14ac:dyDescent="0.15">
      <c r="A58" s="47">
        <v>4</v>
      </c>
      <c r="B58" s="7" t="s">
        <v>383</v>
      </c>
      <c r="C58" s="48"/>
      <c r="D58" s="43"/>
      <c r="E58" s="290"/>
      <c r="F58" s="59"/>
      <c r="G58" s="60"/>
      <c r="H58" s="3"/>
      <c r="I58" s="217">
        <v>0</v>
      </c>
      <c r="J58" s="217"/>
      <c r="K58" s="377"/>
      <c r="L58" s="378"/>
      <c r="M58" s="376"/>
      <c r="N58" s="376"/>
      <c r="O58" s="217"/>
      <c r="P58" s="144"/>
    </row>
    <row r="59" spans="1:16" ht="43.15" customHeight="1" x14ac:dyDescent="0.15">
      <c r="A59" s="40" t="s">
        <v>45</v>
      </c>
      <c r="B59" s="52" t="s">
        <v>130</v>
      </c>
      <c r="C59" s="53">
        <v>67708</v>
      </c>
      <c r="D59" s="53">
        <f>C59/C28*10000</f>
        <v>1538.0840962268001</v>
      </c>
      <c r="E59" s="291">
        <f>C59/C54</f>
        <v>0.16775184579555</v>
      </c>
      <c r="F59" s="59"/>
      <c r="G59" s="60"/>
      <c r="H59" s="3"/>
      <c r="I59" s="217">
        <v>59500</v>
      </c>
      <c r="J59" s="217" t="s">
        <v>384</v>
      </c>
      <c r="K59" s="377"/>
      <c r="L59" s="378"/>
      <c r="M59" s="376"/>
      <c r="N59" s="376"/>
      <c r="O59" s="217"/>
      <c r="P59" s="144"/>
    </row>
    <row r="60" spans="1:16" ht="14.25" x14ac:dyDescent="0.15">
      <c r="A60" s="40"/>
      <c r="B60" s="52" t="s">
        <v>131</v>
      </c>
      <c r="C60" s="53"/>
      <c r="D60" s="48"/>
      <c r="E60" s="292"/>
      <c r="F60" s="59"/>
      <c r="G60" s="60"/>
      <c r="H60" s="3"/>
      <c r="I60" s="217"/>
      <c r="J60" s="217"/>
      <c r="K60" s="377"/>
      <c r="L60" s="378"/>
      <c r="M60" s="376"/>
      <c r="N60" s="376"/>
      <c r="O60" s="217"/>
      <c r="P60" s="144"/>
    </row>
    <row r="61" spans="1:16" ht="40.5" x14ac:dyDescent="0.15">
      <c r="A61" s="40"/>
      <c r="B61" s="52" t="s">
        <v>385</v>
      </c>
      <c r="C61" s="53"/>
      <c r="D61" s="48"/>
      <c r="E61" s="292"/>
      <c r="F61" s="59"/>
      <c r="G61" s="60"/>
      <c r="H61" s="3"/>
      <c r="I61" s="217"/>
      <c r="J61" s="217"/>
      <c r="K61" s="377"/>
      <c r="L61" s="378"/>
      <c r="M61" s="376"/>
      <c r="N61" s="376"/>
      <c r="O61" s="217"/>
      <c r="P61" s="144"/>
    </row>
    <row r="62" spans="1:16" ht="54" customHeight="1" x14ac:dyDescent="0.15">
      <c r="A62" s="54" t="s">
        <v>83</v>
      </c>
      <c r="B62" s="52" t="s">
        <v>386</v>
      </c>
      <c r="C62" s="53">
        <v>189274</v>
      </c>
      <c r="D62" s="53">
        <f>C62/C28*10000</f>
        <v>4299.6297221780496</v>
      </c>
      <c r="E62" s="291">
        <f>C62/C54</f>
        <v>0.46894108319706701</v>
      </c>
      <c r="F62" s="59" t="s">
        <v>387</v>
      </c>
      <c r="G62" s="59"/>
      <c r="H62" s="282"/>
      <c r="I62" s="217">
        <v>173109</v>
      </c>
      <c r="J62" s="217" t="s">
        <v>388</v>
      </c>
      <c r="K62" s="377"/>
      <c r="L62" s="378"/>
      <c r="M62" s="376"/>
      <c r="N62" s="376"/>
      <c r="O62" s="217"/>
      <c r="P62" s="144"/>
    </row>
    <row r="63" spans="1:16" ht="14.25" outlineLevel="1" x14ac:dyDescent="0.15">
      <c r="A63" s="54">
        <v>1</v>
      </c>
      <c r="B63" s="55" t="s">
        <v>133</v>
      </c>
      <c r="C63" s="56">
        <f>C62-C64-C65</f>
        <v>153274</v>
      </c>
      <c r="D63" s="57"/>
      <c r="E63" s="293"/>
      <c r="F63" s="59"/>
      <c r="G63" s="60"/>
      <c r="H63" s="3"/>
      <c r="I63" s="217">
        <v>137109</v>
      </c>
      <c r="J63" s="217" t="s">
        <v>389</v>
      </c>
      <c r="K63" s="377"/>
      <c r="L63" s="378"/>
      <c r="M63" s="376"/>
      <c r="N63" s="376"/>
      <c r="O63" s="217"/>
      <c r="P63" s="144"/>
    </row>
    <row r="64" spans="1:16" ht="40.5" outlineLevel="1" x14ac:dyDescent="0.15">
      <c r="A64" s="54">
        <v>2</v>
      </c>
      <c r="B64" s="55" t="s">
        <v>385</v>
      </c>
      <c r="C64" s="56">
        <v>32000</v>
      </c>
      <c r="D64" s="57"/>
      <c r="E64" s="293"/>
      <c r="F64" s="59"/>
      <c r="G64" s="60"/>
      <c r="H64" s="3"/>
      <c r="I64" s="217">
        <v>32000</v>
      </c>
      <c r="J64" s="217"/>
      <c r="K64" s="377"/>
      <c r="L64" s="378"/>
      <c r="M64" s="272"/>
      <c r="N64" s="272"/>
      <c r="O64" s="217"/>
      <c r="P64" s="144"/>
    </row>
    <row r="65" spans="1:16" ht="14.25" outlineLevel="1" x14ac:dyDescent="0.15">
      <c r="A65" s="54">
        <v>3</v>
      </c>
      <c r="B65" s="55" t="s">
        <v>390</v>
      </c>
      <c r="C65" s="56">
        <f>C64*12.5%</f>
        <v>4000</v>
      </c>
      <c r="D65" s="57"/>
      <c r="E65" s="293"/>
      <c r="F65" s="59"/>
      <c r="G65" s="60"/>
      <c r="H65" s="3"/>
      <c r="I65" s="217">
        <f>I64*12.5%</f>
        <v>4000</v>
      </c>
      <c r="J65" s="217"/>
      <c r="K65" s="377"/>
      <c r="L65" s="378"/>
      <c r="M65" s="272"/>
      <c r="N65" s="272"/>
      <c r="O65" s="217"/>
      <c r="P65" s="144"/>
    </row>
    <row r="66" spans="1:16" ht="14.25" x14ac:dyDescent="0.15">
      <c r="A66" s="47" t="s">
        <v>105</v>
      </c>
      <c r="B66" s="52" t="s">
        <v>137</v>
      </c>
      <c r="C66" s="53">
        <f>C67+C68+C71</f>
        <v>70697</v>
      </c>
      <c r="D66" s="209">
        <f t="shared" ref="D66:D79" si="0">C66/$C$28*10000</f>
        <v>1605.9835078712399</v>
      </c>
      <c r="E66" s="308">
        <f>C66/C54</f>
        <v>0.175157326197909</v>
      </c>
      <c r="F66" s="59"/>
      <c r="G66" s="59"/>
      <c r="H66" s="282"/>
      <c r="I66" s="217">
        <f>+I67+I68+I71</f>
        <v>59031.195833333302</v>
      </c>
      <c r="J66" s="217"/>
      <c r="K66" s="377"/>
      <c r="L66" s="378"/>
      <c r="M66" s="376"/>
      <c r="N66" s="376"/>
      <c r="O66" s="217"/>
      <c r="P66" s="144"/>
    </row>
    <row r="67" spans="1:16" ht="14.25" x14ac:dyDescent="0.15">
      <c r="A67" s="47">
        <v>1</v>
      </c>
      <c r="B67" s="41" t="s">
        <v>89</v>
      </c>
      <c r="C67" s="42">
        <v>25428</v>
      </c>
      <c r="D67" s="48">
        <f t="shared" si="0"/>
        <v>577.63340223984005</v>
      </c>
      <c r="E67" s="309">
        <f t="shared" ref="E67:E79" si="1">C67/$C$54</f>
        <v>6.2999851345324806E-2</v>
      </c>
      <c r="F67" s="59" t="s">
        <v>391</v>
      </c>
      <c r="G67" s="59"/>
      <c r="H67" s="282"/>
      <c r="I67" s="217">
        <v>15888.6</v>
      </c>
      <c r="J67" s="379" t="s">
        <v>392</v>
      </c>
      <c r="K67" s="377"/>
      <c r="L67" s="380"/>
      <c r="M67" s="376"/>
      <c r="N67" s="376"/>
      <c r="O67" s="217"/>
      <c r="P67" s="144"/>
    </row>
    <row r="68" spans="1:16" ht="28.5" x14ac:dyDescent="0.15">
      <c r="A68" s="47">
        <v>2</v>
      </c>
      <c r="B68" s="41" t="s">
        <v>93</v>
      </c>
      <c r="C68" s="42">
        <f>C69+C70</f>
        <v>25024</v>
      </c>
      <c r="D68" s="48">
        <f t="shared" si="0"/>
        <v>568.45596419890501</v>
      </c>
      <c r="E68" s="309">
        <f t="shared" si="1"/>
        <v>6.1998909865715303E-2</v>
      </c>
      <c r="F68" s="59" t="s">
        <v>393</v>
      </c>
      <c r="G68" s="59"/>
      <c r="H68" s="282"/>
      <c r="I68" s="217">
        <f>+I69+I70</f>
        <v>15636.4</v>
      </c>
      <c r="J68" s="379" t="s">
        <v>394</v>
      </c>
      <c r="K68" s="377"/>
      <c r="L68" s="380"/>
      <c r="M68" s="376"/>
      <c r="N68" s="376"/>
      <c r="O68" s="217"/>
      <c r="P68" s="144"/>
    </row>
    <row r="69" spans="1:16" ht="27" outlineLevel="1" x14ac:dyDescent="0.15">
      <c r="A69" s="47">
        <v>2.1</v>
      </c>
      <c r="B69" s="7" t="s">
        <v>138</v>
      </c>
      <c r="C69" s="48">
        <v>12915</v>
      </c>
      <c r="D69" s="48">
        <f t="shared" si="0"/>
        <v>293.38270370959299</v>
      </c>
      <c r="E69" s="290">
        <f t="shared" si="1"/>
        <v>3.19979188345473E-2</v>
      </c>
      <c r="F69" s="59"/>
      <c r="G69" s="60"/>
      <c r="H69" s="3"/>
      <c r="I69" s="217">
        <v>8070.4</v>
      </c>
      <c r="J69" s="379" t="s">
        <v>395</v>
      </c>
      <c r="K69" s="377"/>
      <c r="L69" s="380"/>
      <c r="M69" s="272"/>
      <c r="N69" s="272"/>
      <c r="O69" s="217"/>
      <c r="P69" s="144"/>
    </row>
    <row r="70" spans="1:16" ht="14.25" outlineLevel="1" x14ac:dyDescent="0.15">
      <c r="A70" s="47">
        <v>2.2000000000000002</v>
      </c>
      <c r="B70" s="7" t="s">
        <v>139</v>
      </c>
      <c r="C70" s="48">
        <v>12109</v>
      </c>
      <c r="D70" s="48">
        <f t="shared" si="0"/>
        <v>275.07326048931202</v>
      </c>
      <c r="E70" s="290">
        <f t="shared" si="1"/>
        <v>3.0000991031167899E-2</v>
      </c>
      <c r="F70" s="59"/>
      <c r="G70" s="60"/>
      <c r="H70" s="3"/>
      <c r="I70" s="217">
        <v>7566</v>
      </c>
      <c r="J70" s="379" t="s">
        <v>396</v>
      </c>
      <c r="K70" s="377"/>
      <c r="L70" s="380"/>
      <c r="M70" s="272"/>
      <c r="N70" s="272"/>
      <c r="O70" s="217"/>
      <c r="P70" s="144"/>
    </row>
    <row r="71" spans="1:16" ht="27" x14ac:dyDescent="0.15">
      <c r="A71" s="47">
        <v>3</v>
      </c>
      <c r="B71" s="41" t="s">
        <v>98</v>
      </c>
      <c r="C71" s="42">
        <f>C72+C73+C74</f>
        <v>20245</v>
      </c>
      <c r="D71" s="48">
        <f t="shared" si="0"/>
        <v>459.89414143249797</v>
      </c>
      <c r="E71" s="309">
        <f t="shared" si="1"/>
        <v>5.0158564986868798E-2</v>
      </c>
      <c r="F71" s="59" t="s">
        <v>397</v>
      </c>
      <c r="G71" s="67"/>
      <c r="H71" s="4"/>
      <c r="I71" s="217">
        <f>+I72+I73+I74</f>
        <v>27506.195833333299</v>
      </c>
      <c r="J71" s="379"/>
      <c r="K71" s="377"/>
      <c r="L71" s="380"/>
      <c r="M71" s="376"/>
      <c r="N71" s="376"/>
      <c r="O71" s="217"/>
      <c r="P71" s="144"/>
    </row>
    <row r="72" spans="1:16" ht="14.25" outlineLevel="1" x14ac:dyDescent="0.15">
      <c r="A72" s="47">
        <v>3.1</v>
      </c>
      <c r="B72" s="7" t="s">
        <v>140</v>
      </c>
      <c r="C72" s="48">
        <v>16486</v>
      </c>
      <c r="D72" s="48">
        <f t="shared" si="0"/>
        <v>374.50307807637301</v>
      </c>
      <c r="E72" s="290">
        <f t="shared" si="1"/>
        <v>4.08453495862445E-2</v>
      </c>
      <c r="F72" s="59"/>
      <c r="G72" s="60"/>
      <c r="H72" s="3"/>
      <c r="I72" s="217">
        <v>23159.945833333299</v>
      </c>
      <c r="J72" s="217"/>
      <c r="K72" s="377"/>
      <c r="L72" s="378"/>
      <c r="M72" s="272"/>
      <c r="N72" s="272"/>
      <c r="O72" s="217"/>
      <c r="P72" s="144"/>
    </row>
    <row r="73" spans="1:16" ht="14.25" outlineLevel="1" x14ac:dyDescent="0.15">
      <c r="A73" s="47">
        <v>3.2</v>
      </c>
      <c r="B73" s="7" t="s">
        <v>141</v>
      </c>
      <c r="C73" s="48"/>
      <c r="D73" s="48">
        <f t="shared" si="0"/>
        <v>0</v>
      </c>
      <c r="E73" s="290">
        <f t="shared" si="1"/>
        <v>0</v>
      </c>
      <c r="F73" s="59"/>
      <c r="G73" s="60"/>
      <c r="H73" s="3"/>
      <c r="I73" s="217"/>
      <c r="J73" s="217"/>
      <c r="K73" s="377"/>
      <c r="L73" s="378"/>
      <c r="M73" s="272"/>
      <c r="N73" s="272"/>
      <c r="O73" s="217"/>
      <c r="P73" s="144"/>
    </row>
    <row r="74" spans="1:16" ht="14.25" outlineLevel="1" x14ac:dyDescent="0.15">
      <c r="A74" s="47">
        <v>3.4</v>
      </c>
      <c r="B74" s="7" t="s">
        <v>142</v>
      </c>
      <c r="C74" s="48">
        <v>3759</v>
      </c>
      <c r="D74" s="48">
        <f t="shared" si="0"/>
        <v>85.3910633561255</v>
      </c>
      <c r="E74" s="290">
        <f t="shared" si="1"/>
        <v>9.3132154006243494E-3</v>
      </c>
      <c r="F74" s="59"/>
      <c r="G74" s="60"/>
      <c r="H74" s="3"/>
      <c r="I74" s="217">
        <v>4346.25</v>
      </c>
      <c r="J74" s="217"/>
      <c r="K74" s="377"/>
      <c r="L74" s="378"/>
      <c r="M74" s="272"/>
      <c r="N74" s="272"/>
      <c r="O74" s="217"/>
      <c r="P74" s="144"/>
    </row>
    <row r="75" spans="1:16" ht="14.25" x14ac:dyDescent="0.15">
      <c r="A75" s="47" t="s">
        <v>112</v>
      </c>
      <c r="B75" s="154" t="s">
        <v>398</v>
      </c>
      <c r="C75" s="53">
        <f>C76+C77+C78</f>
        <v>37930</v>
      </c>
      <c r="D75" s="209">
        <f t="shared" si="0"/>
        <v>861.63422003134895</v>
      </c>
      <c r="E75" s="308">
        <f t="shared" si="1"/>
        <v>9.3974530498984202E-2</v>
      </c>
      <c r="F75" s="59"/>
      <c r="G75" s="67"/>
      <c r="H75" s="4"/>
      <c r="I75" s="217">
        <f>+I76+I77+I78</f>
        <v>8900.6692943852995</v>
      </c>
      <c r="J75" s="217"/>
      <c r="K75" s="377"/>
      <c r="L75" s="378"/>
      <c r="M75" s="272"/>
      <c r="N75" s="272"/>
      <c r="O75" s="217"/>
      <c r="P75" s="144"/>
    </row>
    <row r="76" spans="1:16" outlineLevel="1" x14ac:dyDescent="0.15">
      <c r="A76" s="47">
        <v>5.0999999999999996</v>
      </c>
      <c r="B76" s="7" t="s">
        <v>143</v>
      </c>
      <c r="C76" s="48">
        <v>14149</v>
      </c>
      <c r="D76" s="48">
        <f t="shared" si="0"/>
        <v>321.41477930987497</v>
      </c>
      <c r="E76" s="290">
        <f t="shared" si="1"/>
        <v>3.50552499876121E-2</v>
      </c>
      <c r="F76" s="61"/>
      <c r="G76" s="60"/>
      <c r="H76" s="3"/>
      <c r="I76" s="217">
        <v>2124.4491108990601</v>
      </c>
      <c r="J76" s="217"/>
      <c r="K76" s="377"/>
      <c r="L76" s="378"/>
      <c r="M76" s="376"/>
      <c r="N76" s="376"/>
      <c r="O76" s="217"/>
      <c r="P76" s="144"/>
    </row>
    <row r="77" spans="1:16" outlineLevel="1" x14ac:dyDescent="0.15">
      <c r="A77" s="47">
        <v>5.2</v>
      </c>
      <c r="B77" s="7" t="s">
        <v>144</v>
      </c>
      <c r="C77" s="48">
        <v>11111</v>
      </c>
      <c r="D77" s="48">
        <f t="shared" si="0"/>
        <v>252.402262556507</v>
      </c>
      <c r="E77" s="290">
        <f t="shared" si="1"/>
        <v>2.7528368267182E-2</v>
      </c>
      <c r="F77" s="61"/>
      <c r="G77" s="60"/>
      <c r="H77" s="3"/>
      <c r="I77" s="217">
        <v>6776.2201834862399</v>
      </c>
      <c r="J77" s="217"/>
      <c r="K77" s="377"/>
      <c r="L77" s="378"/>
      <c r="M77" s="376"/>
      <c r="N77" s="376"/>
      <c r="O77" s="217"/>
      <c r="P77" s="144"/>
    </row>
    <row r="78" spans="1:16" outlineLevel="1" x14ac:dyDescent="0.15">
      <c r="A78" s="47">
        <v>5.3</v>
      </c>
      <c r="B78" s="7" t="s">
        <v>145</v>
      </c>
      <c r="C78" s="48">
        <v>12670</v>
      </c>
      <c r="D78" s="48">
        <f t="shared" si="0"/>
        <v>287.817178164967</v>
      </c>
      <c r="E78" s="290">
        <f t="shared" si="1"/>
        <v>3.1390912244190099E-2</v>
      </c>
      <c r="F78" s="61"/>
      <c r="G78" s="60"/>
      <c r="H78" s="3"/>
      <c r="I78" s="217">
        <v>0</v>
      </c>
      <c r="J78" s="217"/>
      <c r="K78" s="377"/>
      <c r="L78" s="378"/>
      <c r="M78" s="376"/>
      <c r="N78" s="376"/>
      <c r="O78" s="217"/>
      <c r="P78" s="144"/>
    </row>
    <row r="79" spans="1:16" ht="27" x14ac:dyDescent="0.15">
      <c r="A79" s="64" t="s">
        <v>115</v>
      </c>
      <c r="B79" s="154" t="s">
        <v>146</v>
      </c>
      <c r="C79" s="53">
        <f>C54-C59-C62-C66-C75</f>
        <v>38011</v>
      </c>
      <c r="D79" s="209">
        <f t="shared" si="0"/>
        <v>863.47425092569495</v>
      </c>
      <c r="E79" s="308">
        <f t="shared" si="1"/>
        <v>9.4175214310490099E-2</v>
      </c>
      <c r="F79" s="296"/>
      <c r="G79" s="67"/>
      <c r="H79" s="4"/>
      <c r="I79" s="217">
        <f>I54-I59-I62-I66-I75</f>
        <v>-48340.8651277186</v>
      </c>
      <c r="J79" s="217"/>
      <c r="K79" s="377"/>
      <c r="L79" s="378"/>
      <c r="M79" s="376"/>
      <c r="N79" s="376"/>
      <c r="O79" s="217"/>
      <c r="P79" s="144"/>
    </row>
    <row r="80" spans="1:16" x14ac:dyDescent="0.15">
      <c r="A80" s="47" t="s">
        <v>117</v>
      </c>
      <c r="B80" s="8" t="s">
        <v>148</v>
      </c>
      <c r="C80" s="48">
        <f>C79</f>
        <v>38011</v>
      </c>
      <c r="D80" s="48"/>
      <c r="E80" s="290">
        <f>C80/370294</f>
        <v>0.102650866608695</v>
      </c>
      <c r="F80" s="61" t="s">
        <v>399</v>
      </c>
      <c r="G80" s="60"/>
      <c r="H80" s="3"/>
      <c r="I80" s="217">
        <f>I79</f>
        <v>-48340.8651277186</v>
      </c>
      <c r="J80" s="217"/>
      <c r="K80" s="377"/>
      <c r="L80" s="378"/>
      <c r="M80" s="272"/>
      <c r="N80" s="272"/>
      <c r="O80" s="217"/>
      <c r="P80" s="144"/>
    </row>
    <row r="81" spans="1:16" ht="13.5" customHeight="1" outlineLevel="2" x14ac:dyDescent="0.15">
      <c r="A81" s="47">
        <v>7.1</v>
      </c>
      <c r="B81" s="8" t="s">
        <v>400</v>
      </c>
      <c r="C81" s="48"/>
      <c r="D81" s="48"/>
      <c r="E81" s="49"/>
      <c r="F81" s="61"/>
      <c r="G81" s="60"/>
      <c r="H81" s="3"/>
      <c r="I81" s="217">
        <v>0</v>
      </c>
      <c r="J81" s="217"/>
      <c r="K81" s="377"/>
      <c r="L81" s="378"/>
      <c r="M81" s="272"/>
      <c r="N81" s="272"/>
      <c r="O81" s="217"/>
      <c r="P81" s="144"/>
    </row>
    <row r="82" spans="1:16" ht="26.85" customHeight="1" outlineLevel="2" x14ac:dyDescent="0.15">
      <c r="A82" s="47">
        <v>7.2</v>
      </c>
      <c r="B82" s="6" t="s">
        <v>401</v>
      </c>
      <c r="C82" s="48">
        <f>C80*0.25</f>
        <v>9502.75</v>
      </c>
      <c r="D82" s="48"/>
      <c r="E82" s="49"/>
      <c r="F82" s="61"/>
      <c r="G82" s="60"/>
      <c r="H82" s="3"/>
      <c r="I82" s="217">
        <f>I80*0.25</f>
        <v>-12085.216281929601</v>
      </c>
      <c r="J82" s="217"/>
      <c r="K82" s="377"/>
      <c r="L82" s="378"/>
      <c r="M82" s="272"/>
      <c r="N82" s="272"/>
      <c r="O82" s="217"/>
      <c r="P82" s="144"/>
    </row>
    <row r="83" spans="1:16" ht="26.85" customHeight="1" outlineLevel="2" x14ac:dyDescent="0.15">
      <c r="A83" s="47">
        <v>7.3</v>
      </c>
      <c r="B83" s="6" t="s">
        <v>402</v>
      </c>
      <c r="C83" s="48"/>
      <c r="D83" s="48"/>
      <c r="E83" s="49"/>
      <c r="F83" s="61"/>
      <c r="G83" s="60"/>
      <c r="H83" s="3"/>
      <c r="I83" s="217">
        <f>I80*0.75</f>
        <v>-36255.648845788899</v>
      </c>
      <c r="J83" s="217"/>
      <c r="K83" s="377"/>
      <c r="L83" s="378"/>
      <c r="M83" s="272"/>
      <c r="N83" s="272"/>
      <c r="O83" s="217"/>
      <c r="P83" s="144"/>
    </row>
    <row r="84" spans="1:16" x14ac:dyDescent="0.15">
      <c r="A84" s="311" t="s">
        <v>151</v>
      </c>
      <c r="B84" s="312"/>
      <c r="C84" s="313"/>
      <c r="D84" s="314"/>
      <c r="E84" s="315"/>
      <c r="F84" s="318"/>
      <c r="G84" s="318"/>
      <c r="H84" s="315"/>
      <c r="I84" s="315"/>
      <c r="J84" s="315"/>
      <c r="K84" s="381"/>
      <c r="L84" s="382"/>
      <c r="M84" s="383"/>
      <c r="N84" s="383"/>
      <c r="O84" s="319"/>
      <c r="P84" s="320"/>
    </row>
    <row r="85" spans="1:16" x14ac:dyDescent="0.15">
      <c r="A85" s="1469" t="s">
        <v>153</v>
      </c>
      <c r="B85" s="7" t="s">
        <v>152</v>
      </c>
      <c r="C85" s="48"/>
      <c r="D85" s="43">
        <f t="shared" ref="D85:D98" si="2">C85/C$28*10000</f>
        <v>0</v>
      </c>
      <c r="E85" s="163"/>
      <c r="F85" s="51"/>
      <c r="G85" s="50"/>
      <c r="K85" s="384"/>
      <c r="L85" s="385"/>
      <c r="M85" s="272"/>
      <c r="N85" s="272"/>
      <c r="O85" s="217"/>
      <c r="P85" s="144"/>
    </row>
    <row r="86" spans="1:16" x14ac:dyDescent="0.15">
      <c r="A86" s="1469"/>
      <c r="B86" s="7" t="s">
        <v>154</v>
      </c>
      <c r="C86" s="48"/>
      <c r="D86" s="43">
        <f t="shared" si="2"/>
        <v>0</v>
      </c>
      <c r="E86" s="163"/>
      <c r="F86" s="51"/>
      <c r="G86" s="50"/>
      <c r="K86" s="384"/>
      <c r="L86" s="385"/>
      <c r="M86" s="272"/>
      <c r="N86" s="272"/>
      <c r="O86" s="217"/>
      <c r="P86" s="144"/>
    </row>
    <row r="87" spans="1:16" x14ac:dyDescent="0.15">
      <c r="A87" s="1469"/>
      <c r="B87" s="7" t="s">
        <v>155</v>
      </c>
      <c r="C87" s="48"/>
      <c r="D87" s="43">
        <f t="shared" si="2"/>
        <v>0</v>
      </c>
      <c r="E87" s="163"/>
      <c r="F87" s="51"/>
      <c r="G87" s="50"/>
      <c r="K87" s="384"/>
      <c r="L87" s="385"/>
      <c r="M87" s="272"/>
      <c r="N87" s="272"/>
      <c r="O87" s="217"/>
      <c r="P87" s="144"/>
    </row>
    <row r="88" spans="1:16" x14ac:dyDescent="0.15">
      <c r="A88" s="1469"/>
      <c r="B88" s="7" t="s">
        <v>156</v>
      </c>
      <c r="C88" s="48"/>
      <c r="D88" s="43">
        <f t="shared" si="2"/>
        <v>0</v>
      </c>
      <c r="E88" s="163"/>
      <c r="F88" s="51"/>
      <c r="G88" s="50"/>
      <c r="K88" s="384"/>
      <c r="L88" s="385"/>
      <c r="M88" s="272"/>
      <c r="N88" s="272"/>
      <c r="O88" s="217"/>
      <c r="P88" s="144"/>
    </row>
    <row r="89" spans="1:16" x14ac:dyDescent="0.15">
      <c r="A89" s="1469" t="s">
        <v>157</v>
      </c>
      <c r="B89" s="7" t="s">
        <v>403</v>
      </c>
      <c r="C89" s="48"/>
      <c r="D89" s="43">
        <f t="shared" si="2"/>
        <v>0</v>
      </c>
      <c r="E89" s="163"/>
      <c r="F89" s="51"/>
      <c r="G89" s="50"/>
      <c r="K89" s="384"/>
      <c r="L89" s="385"/>
      <c r="M89" s="272"/>
      <c r="N89" s="272"/>
      <c r="O89" s="217"/>
      <c r="P89" s="144"/>
    </row>
    <row r="90" spans="1:16" x14ac:dyDescent="0.15">
      <c r="A90" s="1469"/>
      <c r="B90" s="7" t="s">
        <v>161</v>
      </c>
      <c r="C90" s="48"/>
      <c r="D90" s="43">
        <f t="shared" si="2"/>
        <v>0</v>
      </c>
      <c r="E90" s="163"/>
      <c r="F90" s="51"/>
      <c r="G90" s="50"/>
      <c r="K90" s="384"/>
      <c r="L90" s="385"/>
      <c r="M90" s="272"/>
      <c r="N90" s="272"/>
      <c r="O90" s="217"/>
      <c r="P90" s="144"/>
    </row>
    <row r="91" spans="1:16" x14ac:dyDescent="0.15">
      <c r="A91" s="1469"/>
      <c r="B91" s="7" t="s">
        <v>404</v>
      </c>
      <c r="C91" s="48"/>
      <c r="D91" s="43">
        <f t="shared" si="2"/>
        <v>0</v>
      </c>
      <c r="E91" s="163"/>
      <c r="F91" s="51"/>
      <c r="G91" s="50"/>
      <c r="K91" s="384"/>
      <c r="L91" s="385"/>
      <c r="M91" s="272"/>
      <c r="N91" s="272"/>
      <c r="O91" s="217"/>
      <c r="P91" s="144"/>
    </row>
    <row r="92" spans="1:16" x14ac:dyDescent="0.15">
      <c r="A92" s="1469"/>
      <c r="B92" s="7" t="s">
        <v>163</v>
      </c>
      <c r="C92" s="48"/>
      <c r="D92" s="43">
        <f t="shared" si="2"/>
        <v>0</v>
      </c>
      <c r="E92" s="163"/>
      <c r="F92" s="51"/>
      <c r="G92" s="50"/>
      <c r="K92" s="384"/>
      <c r="L92" s="385"/>
      <c r="M92" s="272"/>
      <c r="N92" s="272"/>
      <c r="O92" s="217"/>
      <c r="P92" s="144"/>
    </row>
    <row r="93" spans="1:16" x14ac:dyDescent="0.15">
      <c r="A93" s="1469"/>
      <c r="B93" s="7" t="s">
        <v>164</v>
      </c>
      <c r="C93" s="48"/>
      <c r="D93" s="43">
        <f t="shared" si="2"/>
        <v>0</v>
      </c>
      <c r="E93" s="163"/>
      <c r="F93" s="51"/>
      <c r="G93" s="50"/>
      <c r="K93" s="384"/>
      <c r="L93" s="385"/>
      <c r="M93" s="272"/>
      <c r="N93" s="272"/>
      <c r="O93" s="217"/>
      <c r="P93" s="144"/>
    </row>
    <row r="94" spans="1:16" x14ac:dyDescent="0.15">
      <c r="A94" s="1469"/>
      <c r="B94" s="7" t="s">
        <v>165</v>
      </c>
      <c r="C94" s="48"/>
      <c r="D94" s="43">
        <f t="shared" si="2"/>
        <v>0</v>
      </c>
      <c r="E94" s="49"/>
      <c r="F94" s="51"/>
      <c r="G94" s="50"/>
      <c r="K94" s="384"/>
      <c r="L94" s="385"/>
      <c r="M94" s="272"/>
      <c r="N94" s="272"/>
      <c r="O94" s="217"/>
      <c r="P94" s="144"/>
    </row>
    <row r="95" spans="1:16" ht="27" x14ac:dyDescent="0.15">
      <c r="A95" s="1469"/>
      <c r="B95" s="7" t="s">
        <v>166</v>
      </c>
      <c r="C95" s="48"/>
      <c r="D95" s="43">
        <f t="shared" si="2"/>
        <v>0</v>
      </c>
      <c r="E95" s="49"/>
      <c r="F95" s="51"/>
      <c r="G95" s="50"/>
      <c r="K95" s="384"/>
      <c r="L95" s="385"/>
      <c r="M95" s="272"/>
      <c r="N95" s="272"/>
      <c r="O95" s="217"/>
      <c r="P95" s="144"/>
    </row>
    <row r="96" spans="1:16" ht="27" x14ac:dyDescent="0.15">
      <c r="A96" s="1469"/>
      <c r="B96" s="7" t="s">
        <v>167</v>
      </c>
      <c r="C96" s="48"/>
      <c r="D96" s="43">
        <f t="shared" si="2"/>
        <v>0</v>
      </c>
      <c r="E96" s="49"/>
      <c r="F96" s="51"/>
      <c r="G96" s="50"/>
      <c r="K96" s="384"/>
      <c r="L96" s="385"/>
      <c r="M96" s="272"/>
      <c r="N96" s="272"/>
      <c r="O96" s="217"/>
      <c r="P96" s="144"/>
    </row>
    <row r="97" spans="1:16" x14ac:dyDescent="0.15">
      <c r="A97" s="1469" t="s">
        <v>405</v>
      </c>
      <c r="B97" s="7" t="s">
        <v>406</v>
      </c>
      <c r="C97" s="48"/>
      <c r="D97" s="43">
        <f t="shared" si="2"/>
        <v>0</v>
      </c>
      <c r="E97" s="49"/>
      <c r="F97" s="51"/>
      <c r="G97" s="50"/>
      <c r="K97" s="384"/>
      <c r="L97" s="385"/>
      <c r="M97" s="272"/>
      <c r="N97" s="272"/>
      <c r="O97" s="217"/>
      <c r="P97" s="144"/>
    </row>
    <row r="98" spans="1:16" x14ac:dyDescent="0.15">
      <c r="A98" s="1469"/>
      <c r="B98" s="7" t="s">
        <v>407</v>
      </c>
      <c r="C98" s="48"/>
      <c r="D98" s="43">
        <f t="shared" si="2"/>
        <v>0</v>
      </c>
      <c r="E98" s="49"/>
      <c r="F98" s="51"/>
      <c r="G98" s="50"/>
      <c r="K98" s="384"/>
      <c r="L98" s="385"/>
      <c r="M98" s="272"/>
      <c r="N98" s="272"/>
      <c r="O98" s="217"/>
      <c r="P98" s="144"/>
    </row>
    <row r="99" spans="1:16" x14ac:dyDescent="0.15">
      <c r="A99" s="1469"/>
      <c r="B99" s="7" t="s">
        <v>408</v>
      </c>
      <c r="C99" s="48"/>
      <c r="D99" s="43"/>
      <c r="E99" s="49"/>
      <c r="F99" s="51"/>
      <c r="G99" s="50"/>
      <c r="K99" s="384"/>
      <c r="L99" s="385"/>
      <c r="M99" s="272"/>
      <c r="N99" s="272"/>
      <c r="O99" s="217"/>
      <c r="P99" s="144"/>
    </row>
    <row r="100" spans="1:16" ht="27" x14ac:dyDescent="0.15">
      <c r="A100" s="1469"/>
      <c r="B100" s="7" t="s">
        <v>409</v>
      </c>
      <c r="C100" s="48"/>
      <c r="D100" s="43"/>
      <c r="E100" s="49"/>
      <c r="F100" s="51"/>
      <c r="G100" s="50"/>
      <c r="K100" s="384"/>
      <c r="L100" s="385"/>
      <c r="M100" s="272"/>
      <c r="N100" s="272"/>
      <c r="O100" s="217"/>
      <c r="P100" s="144"/>
    </row>
    <row r="101" spans="1:16" x14ac:dyDescent="0.15">
      <c r="A101" s="1469"/>
      <c r="B101" s="7" t="s">
        <v>410</v>
      </c>
      <c r="C101" s="48"/>
      <c r="D101" s="43">
        <f t="shared" ref="D101:D105" si="3">C101/C$28*10000</f>
        <v>0</v>
      </c>
      <c r="E101" s="49"/>
      <c r="F101" s="51"/>
      <c r="G101" s="50"/>
      <c r="K101" s="384"/>
      <c r="L101" s="385"/>
      <c r="M101" s="272"/>
      <c r="N101" s="272"/>
      <c r="O101" s="217"/>
      <c r="P101" s="144"/>
    </row>
    <row r="102" spans="1:16" x14ac:dyDescent="0.15">
      <c r="A102" s="1469"/>
      <c r="B102" s="7" t="s">
        <v>411</v>
      </c>
      <c r="C102" s="48"/>
      <c r="D102" s="43"/>
      <c r="E102" s="49"/>
      <c r="F102" s="51"/>
      <c r="G102" s="50"/>
      <c r="K102" s="384"/>
      <c r="L102" s="385"/>
      <c r="M102" s="272"/>
      <c r="N102" s="272"/>
      <c r="O102" s="217"/>
      <c r="P102" s="144"/>
    </row>
    <row r="103" spans="1:16" ht="27" x14ac:dyDescent="0.15">
      <c r="A103" s="1469"/>
      <c r="B103" s="7" t="s">
        <v>412</v>
      </c>
      <c r="C103" s="48"/>
      <c r="D103" s="43"/>
      <c r="E103" s="49"/>
      <c r="F103" s="51"/>
      <c r="G103" s="50"/>
      <c r="K103" s="384"/>
      <c r="L103" s="385"/>
      <c r="M103" s="272"/>
      <c r="N103" s="272"/>
      <c r="O103" s="217"/>
      <c r="P103" s="144"/>
    </row>
    <row r="104" spans="1:16" ht="27" x14ac:dyDescent="0.15">
      <c r="A104" s="1469"/>
      <c r="B104" s="7" t="s">
        <v>108</v>
      </c>
      <c r="C104" s="48"/>
      <c r="D104" s="43">
        <f t="shared" si="3"/>
        <v>0</v>
      </c>
      <c r="E104" s="49"/>
      <c r="F104" s="51"/>
      <c r="G104" s="50"/>
      <c r="K104" s="384"/>
      <c r="L104" s="385"/>
      <c r="M104" s="272"/>
      <c r="N104" s="272"/>
      <c r="O104" s="217"/>
      <c r="P104" s="144"/>
    </row>
    <row r="105" spans="1:16" ht="15.6" customHeight="1" x14ac:dyDescent="0.15">
      <c r="A105" s="1469"/>
      <c r="B105" s="7" t="s">
        <v>413</v>
      </c>
      <c r="C105" s="48"/>
      <c r="D105" s="43">
        <f t="shared" si="3"/>
        <v>0</v>
      </c>
      <c r="E105" s="49"/>
      <c r="F105" s="51"/>
      <c r="G105" s="50"/>
      <c r="K105" s="384"/>
      <c r="L105" s="385"/>
      <c r="M105" s="272"/>
      <c r="N105" s="272"/>
      <c r="O105" s="217"/>
      <c r="P105" s="144"/>
    </row>
    <row r="106" spans="1:16" x14ac:dyDescent="0.15">
      <c r="A106" s="1469"/>
      <c r="B106" s="7" t="s">
        <v>173</v>
      </c>
      <c r="C106" s="48"/>
      <c r="D106" s="43"/>
      <c r="E106" s="49"/>
      <c r="F106" s="51"/>
      <c r="G106" s="50"/>
      <c r="K106" s="384"/>
      <c r="L106" s="385"/>
      <c r="M106" s="272"/>
      <c r="N106" s="272"/>
      <c r="O106" s="217"/>
      <c r="P106" s="144"/>
    </row>
    <row r="107" spans="1:16" ht="27" x14ac:dyDescent="0.15">
      <c r="A107" s="1469"/>
      <c r="B107" s="7" t="s">
        <v>174</v>
      </c>
      <c r="C107" s="48"/>
      <c r="D107" s="43"/>
      <c r="E107" s="49"/>
      <c r="F107" s="51"/>
      <c r="G107" s="50"/>
      <c r="K107" s="384"/>
      <c r="L107" s="385"/>
      <c r="M107" s="272"/>
      <c r="N107" s="272"/>
      <c r="O107" s="217"/>
      <c r="P107" s="144"/>
    </row>
    <row r="108" spans="1:16" x14ac:dyDescent="0.15">
      <c r="A108" s="1469"/>
      <c r="B108" s="7" t="s">
        <v>414</v>
      </c>
      <c r="C108" s="48"/>
      <c r="D108" s="43">
        <f t="shared" ref="D108:D114" si="4">C108/C$28*10000</f>
        <v>0</v>
      </c>
      <c r="E108" s="49"/>
      <c r="F108" s="51"/>
      <c r="G108" s="50"/>
      <c r="K108" s="384"/>
      <c r="L108" s="385"/>
      <c r="M108" s="272"/>
      <c r="N108" s="272"/>
      <c r="O108" s="217"/>
      <c r="P108" s="144"/>
    </row>
    <row r="109" spans="1:16" x14ac:dyDescent="0.15">
      <c r="A109" s="1469"/>
      <c r="B109" s="7" t="s">
        <v>411</v>
      </c>
      <c r="C109" s="48"/>
      <c r="D109" s="43"/>
      <c r="E109" s="49"/>
      <c r="F109" s="51"/>
      <c r="G109" s="50"/>
      <c r="K109" s="384"/>
      <c r="L109" s="385"/>
      <c r="M109" s="272"/>
      <c r="N109" s="272"/>
      <c r="O109" s="217"/>
      <c r="P109" s="144"/>
    </row>
    <row r="110" spans="1:16" ht="27" x14ac:dyDescent="0.15">
      <c r="A110" s="1469"/>
      <c r="B110" s="7" t="s">
        <v>412</v>
      </c>
      <c r="C110" s="48"/>
      <c r="D110" s="43"/>
      <c r="E110" s="49"/>
      <c r="F110" s="51"/>
      <c r="G110" s="50"/>
      <c r="K110" s="384"/>
      <c r="L110" s="385"/>
      <c r="M110" s="272"/>
      <c r="N110" s="272"/>
      <c r="O110" s="217"/>
      <c r="P110" s="144"/>
    </row>
    <row r="111" spans="1:16" x14ac:dyDescent="0.15">
      <c r="A111" s="1469"/>
      <c r="B111" s="7" t="s">
        <v>109</v>
      </c>
      <c r="D111" s="43">
        <f t="shared" si="4"/>
        <v>0</v>
      </c>
      <c r="F111" s="51"/>
      <c r="G111" s="50"/>
      <c r="K111" s="384"/>
      <c r="L111" s="385"/>
      <c r="M111" s="272"/>
      <c r="N111" s="272"/>
      <c r="O111" s="217"/>
      <c r="P111" s="144"/>
    </row>
    <row r="112" spans="1:16" x14ac:dyDescent="0.15">
      <c r="A112" s="1469"/>
      <c r="B112" s="7" t="s">
        <v>110</v>
      </c>
      <c r="D112" s="43">
        <f t="shared" si="4"/>
        <v>0</v>
      </c>
      <c r="F112" s="51"/>
      <c r="G112" s="50"/>
      <c r="K112" s="384"/>
      <c r="L112" s="385"/>
      <c r="M112" s="272"/>
      <c r="N112" s="272"/>
      <c r="O112" s="217"/>
      <c r="P112" s="144"/>
    </row>
    <row r="113" spans="1:16" x14ac:dyDescent="0.15">
      <c r="A113" s="1469"/>
      <c r="B113" s="7" t="s">
        <v>111</v>
      </c>
      <c r="D113" s="43">
        <f t="shared" si="4"/>
        <v>0</v>
      </c>
      <c r="F113" s="51"/>
      <c r="G113" s="50"/>
      <c r="K113" s="384"/>
      <c r="L113" s="385"/>
      <c r="M113" s="272"/>
      <c r="N113" s="272"/>
      <c r="O113" s="217"/>
      <c r="P113" s="144"/>
    </row>
    <row r="114" spans="1:16" x14ac:dyDescent="0.15">
      <c r="A114" s="47" t="s">
        <v>176</v>
      </c>
      <c r="B114" s="7" t="s">
        <v>177</v>
      </c>
      <c r="C114" s="48"/>
      <c r="D114" s="43">
        <f t="shared" si="4"/>
        <v>0</v>
      </c>
      <c r="E114" s="49"/>
      <c r="F114" s="51"/>
      <c r="G114" s="50"/>
      <c r="K114" s="384"/>
      <c r="L114" s="385"/>
      <c r="M114" s="272"/>
      <c r="N114" s="272"/>
      <c r="O114" s="217"/>
      <c r="P114" s="144"/>
    </row>
    <row r="115" spans="1:16" x14ac:dyDescent="0.15">
      <c r="A115" s="17" t="s">
        <v>415</v>
      </c>
      <c r="B115" s="19"/>
      <c r="C115" s="19"/>
      <c r="D115" s="20"/>
      <c r="E115" s="20"/>
      <c r="F115" s="21"/>
      <c r="G115" s="22"/>
      <c r="H115" s="20"/>
      <c r="I115" s="20"/>
      <c r="J115" s="20"/>
      <c r="K115" s="367"/>
      <c r="L115" s="368"/>
      <c r="M115" s="369"/>
      <c r="N115" s="369"/>
      <c r="O115" s="198"/>
      <c r="P115" s="140"/>
    </row>
    <row r="116" spans="1:16" x14ac:dyDescent="0.15">
      <c r="A116" s="1464" t="s">
        <v>416</v>
      </c>
      <c r="B116" s="1465"/>
      <c r="C116" s="288"/>
      <c r="D116" s="289"/>
      <c r="E116" s="289"/>
      <c r="F116" s="305"/>
      <c r="G116" s="325"/>
      <c r="H116" s="289"/>
      <c r="I116" s="289"/>
      <c r="J116" s="289"/>
      <c r="K116" s="371"/>
      <c r="L116" s="372"/>
      <c r="M116" s="373"/>
      <c r="N116" s="373"/>
      <c r="O116" s="321"/>
      <c r="P116" s="306"/>
    </row>
    <row r="117" spans="1:16" ht="13.5" customHeight="1" outlineLevel="2" x14ac:dyDescent="0.15">
      <c r="A117" s="51">
        <v>1</v>
      </c>
      <c r="B117" s="8" t="s">
        <v>139</v>
      </c>
      <c r="C117" s="48">
        <f>C70</f>
        <v>12109</v>
      </c>
      <c r="D117" s="43">
        <f t="shared" ref="D117:D120" si="5">C117/C$28*10000</f>
        <v>275.07326048931202</v>
      </c>
      <c r="E117" s="49"/>
      <c r="F117" s="51"/>
      <c r="G117" s="50"/>
      <c r="I117" s="217">
        <f>I70</f>
        <v>7566</v>
      </c>
      <c r="K117" s="386"/>
      <c r="L117" s="378"/>
      <c r="M117" s="272"/>
      <c r="N117" s="272"/>
      <c r="O117" s="217"/>
      <c r="P117" s="144"/>
    </row>
    <row r="118" spans="1:16" ht="13.5" customHeight="1" outlineLevel="2" x14ac:dyDescent="0.15">
      <c r="A118" s="51">
        <v>2</v>
      </c>
      <c r="B118" s="8" t="s">
        <v>256</v>
      </c>
      <c r="C118" s="48">
        <f>C74</f>
        <v>3759</v>
      </c>
      <c r="D118" s="43">
        <f t="shared" si="5"/>
        <v>85.3910633561255</v>
      </c>
      <c r="E118" s="49"/>
      <c r="F118" s="51"/>
      <c r="G118" s="50"/>
      <c r="I118" s="217">
        <f>I74</f>
        <v>4346.25</v>
      </c>
      <c r="K118" s="386"/>
      <c r="L118" s="378"/>
      <c r="M118" s="272"/>
      <c r="N118" s="272"/>
      <c r="O118" s="217"/>
      <c r="P118" s="144"/>
    </row>
    <row r="119" spans="1:16" ht="13.5" customHeight="1" outlineLevel="2" x14ac:dyDescent="0.15">
      <c r="A119" s="51">
        <v>3</v>
      </c>
      <c r="B119" s="8" t="s">
        <v>417</v>
      </c>
      <c r="C119" s="48">
        <f>C65*20%</f>
        <v>800</v>
      </c>
      <c r="D119" s="43">
        <f t="shared" si="5"/>
        <v>18.173144635514898</v>
      </c>
      <c r="E119" s="49"/>
      <c r="F119" s="51"/>
      <c r="G119" s="50"/>
      <c r="I119" s="217">
        <v>0</v>
      </c>
      <c r="K119" s="386"/>
      <c r="L119" s="378"/>
      <c r="M119" s="272"/>
      <c r="N119" s="272"/>
      <c r="O119" s="217"/>
      <c r="P119" s="144"/>
    </row>
    <row r="120" spans="1:16" ht="13.5" customHeight="1" outlineLevel="2" x14ac:dyDescent="0.15">
      <c r="A120" s="51">
        <v>4</v>
      </c>
      <c r="B120" s="8" t="s">
        <v>193</v>
      </c>
      <c r="C120" s="48">
        <f>C82</f>
        <v>9502.75</v>
      </c>
      <c r="D120" s="43">
        <f t="shared" si="5"/>
        <v>215.86856273142399</v>
      </c>
      <c r="E120" s="49"/>
      <c r="F120" s="51"/>
      <c r="G120" s="50"/>
      <c r="I120" s="217">
        <f>I82</f>
        <v>-12085.216281929601</v>
      </c>
      <c r="K120" s="386"/>
      <c r="L120" s="378"/>
      <c r="M120" s="272"/>
      <c r="N120" s="272"/>
      <c r="O120" s="217"/>
      <c r="P120" s="144"/>
    </row>
    <row r="121" spans="1:16" ht="13.5" customHeight="1" outlineLevel="2" x14ac:dyDescent="0.15">
      <c r="A121" s="51">
        <v>5</v>
      </c>
      <c r="B121" s="8" t="s">
        <v>82</v>
      </c>
      <c r="C121" s="48"/>
      <c r="D121" s="43"/>
      <c r="E121" s="49"/>
      <c r="F121" s="51"/>
      <c r="G121" s="50"/>
      <c r="I121" s="217">
        <v>-2500</v>
      </c>
      <c r="K121" s="386">
        <v>-1000</v>
      </c>
      <c r="L121" s="378" t="s">
        <v>418</v>
      </c>
      <c r="M121" s="272"/>
      <c r="N121" s="272"/>
      <c r="O121" s="387">
        <v>-1000</v>
      </c>
      <c r="P121" s="388" t="s">
        <v>418</v>
      </c>
    </row>
    <row r="122" spans="1:16" ht="13.5" customHeight="1" outlineLevel="2" x14ac:dyDescent="0.15">
      <c r="A122" s="51">
        <v>5</v>
      </c>
      <c r="B122" s="8" t="s">
        <v>419</v>
      </c>
      <c r="C122" s="48"/>
      <c r="D122" s="43"/>
      <c r="E122" s="49"/>
      <c r="F122" s="51"/>
      <c r="G122" s="50"/>
      <c r="I122" s="217"/>
      <c r="K122" s="386">
        <v>284.25</v>
      </c>
      <c r="L122" s="378" t="s">
        <v>77</v>
      </c>
      <c r="M122" s="272"/>
      <c r="N122" s="272"/>
      <c r="O122" s="387">
        <v>284.25</v>
      </c>
      <c r="P122" s="388" t="s">
        <v>77</v>
      </c>
    </row>
    <row r="123" spans="1:16" ht="13.5" customHeight="1" outlineLevel="1" x14ac:dyDescent="0.15">
      <c r="A123" s="51" t="s">
        <v>40</v>
      </c>
      <c r="B123" s="8" t="s">
        <v>257</v>
      </c>
      <c r="C123" s="48">
        <f>C117+C118+C119+C120</f>
        <v>26170.75</v>
      </c>
      <c r="D123" s="43">
        <f>C123/C$28*10000</f>
        <v>594.506031212376</v>
      </c>
      <c r="E123" s="49"/>
      <c r="F123" s="51"/>
      <c r="G123" s="50"/>
      <c r="I123" s="217">
        <f>+I117+I118+I119+I120+I121+I122</f>
        <v>-2672.96628192965</v>
      </c>
      <c r="K123" s="389">
        <f>K121+K122</f>
        <v>-715.75</v>
      </c>
      <c r="L123" s="378" t="s">
        <v>420</v>
      </c>
      <c r="M123" s="272"/>
      <c r="N123" s="272"/>
      <c r="O123" s="387">
        <f>O121+O122</f>
        <v>-715.75</v>
      </c>
      <c r="P123" s="388" t="s">
        <v>420</v>
      </c>
    </row>
    <row r="124" spans="1:16" ht="13.5" customHeight="1" outlineLevel="1" x14ac:dyDescent="0.15">
      <c r="A124" s="173"/>
      <c r="B124" s="173" t="str">
        <f t="shared" ref="B124:B127" si="6">B214</f>
        <v>销售代理费收入</v>
      </c>
      <c r="C124" s="48"/>
      <c r="D124" s="43"/>
      <c r="E124" s="49"/>
      <c r="F124" s="51"/>
      <c r="G124" s="50"/>
      <c r="I124" s="217"/>
      <c r="K124" s="386"/>
      <c r="L124" s="378"/>
      <c r="M124" s="272"/>
      <c r="N124" s="272"/>
      <c r="O124" s="387"/>
      <c r="P124" s="388"/>
    </row>
    <row r="125" spans="1:16" ht="13.5" customHeight="1" outlineLevel="1" x14ac:dyDescent="0.15">
      <c r="A125" s="173"/>
      <c r="B125" s="173" t="str">
        <f t="shared" si="6"/>
        <v>销售代理费人工成本</v>
      </c>
      <c r="C125" s="48"/>
      <c r="D125" s="43"/>
      <c r="E125" s="49"/>
      <c r="F125" s="51"/>
      <c r="G125" s="50"/>
      <c r="I125" s="217"/>
      <c r="K125" s="386"/>
      <c r="L125" s="378"/>
      <c r="M125" s="272"/>
      <c r="N125" s="272"/>
      <c r="O125" s="387"/>
      <c r="P125" s="388"/>
    </row>
    <row r="126" spans="1:16" ht="13.5" customHeight="1" outlineLevel="1" x14ac:dyDescent="0.15">
      <c r="A126" s="173"/>
      <c r="B126" s="173" t="str">
        <f t="shared" si="6"/>
        <v>销售代理利润</v>
      </c>
      <c r="C126" s="48"/>
      <c r="D126" s="43"/>
      <c r="E126" s="49"/>
      <c r="F126" s="51"/>
      <c r="G126" s="50"/>
      <c r="I126" s="217"/>
      <c r="K126" s="386"/>
      <c r="L126" s="378"/>
      <c r="M126" s="272"/>
      <c r="N126" s="272"/>
      <c r="O126" s="387"/>
      <c r="P126" s="388"/>
    </row>
    <row r="127" spans="1:16" ht="13.5" customHeight="1" outlineLevel="1" x14ac:dyDescent="0.15">
      <c r="A127" s="173"/>
      <c r="B127" s="173" t="str">
        <f t="shared" si="6"/>
        <v>收益二小计</v>
      </c>
      <c r="C127" s="48"/>
      <c r="D127" s="43"/>
      <c r="E127" s="49"/>
      <c r="F127" s="51"/>
      <c r="G127" s="50"/>
      <c r="I127" s="217"/>
      <c r="K127" s="386"/>
      <c r="L127" s="378"/>
      <c r="M127" s="272"/>
      <c r="N127" s="272"/>
      <c r="O127" s="387"/>
      <c r="P127" s="388"/>
    </row>
    <row r="128" spans="1:16" ht="13.5" customHeight="1" outlineLevel="2" x14ac:dyDescent="0.15">
      <c r="A128" s="51" t="s">
        <v>45</v>
      </c>
      <c r="B128" s="8" t="s">
        <v>258</v>
      </c>
      <c r="C128" s="48">
        <f>C37</f>
        <v>10000</v>
      </c>
      <c r="D128" s="43">
        <f t="shared" ref="D128:D130" si="7">C128/C$28*10000</f>
        <v>227.164307943936</v>
      </c>
      <c r="E128" s="49"/>
      <c r="F128" s="51"/>
      <c r="G128" s="50"/>
      <c r="I128" s="217">
        <v>6160</v>
      </c>
      <c r="K128" s="386">
        <v>6160</v>
      </c>
      <c r="L128" s="378"/>
      <c r="M128" s="272"/>
      <c r="N128" s="272"/>
      <c r="O128" s="387">
        <v>6160</v>
      </c>
      <c r="P128" s="388"/>
    </row>
    <row r="129" spans="1:16" ht="13.5" customHeight="1" outlineLevel="2" x14ac:dyDescent="0.15">
      <c r="A129" s="51" t="s">
        <v>83</v>
      </c>
      <c r="B129" s="8" t="s">
        <v>261</v>
      </c>
      <c r="C129" s="267">
        <f>C123/C128</f>
        <v>2.6170749999999998</v>
      </c>
      <c r="D129" s="43">
        <f t="shared" si="7"/>
        <v>5.9450603121237601E-2</v>
      </c>
      <c r="E129" s="49"/>
      <c r="F129" s="51"/>
      <c r="G129" s="50"/>
      <c r="I129" s="205">
        <f>I123/I128</f>
        <v>-0.43392309771585202</v>
      </c>
      <c r="K129" s="386"/>
      <c r="L129" s="391"/>
      <c r="M129" s="272"/>
      <c r="N129" s="272"/>
      <c r="O129" s="387"/>
      <c r="P129" s="392"/>
    </row>
    <row r="130" spans="1:16" ht="13.5" customHeight="1" outlineLevel="2" x14ac:dyDescent="0.15">
      <c r="A130" s="51" t="s">
        <v>105</v>
      </c>
      <c r="B130" s="8" t="s">
        <v>421</v>
      </c>
      <c r="C130" s="48"/>
      <c r="D130" s="43">
        <f t="shared" si="7"/>
        <v>0</v>
      </c>
      <c r="E130" s="49"/>
      <c r="F130" s="51"/>
      <c r="G130" s="50"/>
      <c r="K130" s="386"/>
      <c r="L130" s="378"/>
      <c r="M130" s="272"/>
      <c r="N130" s="272"/>
      <c r="O130" s="387"/>
      <c r="P130" s="388"/>
    </row>
    <row r="131" spans="1:16" ht="13.5" customHeight="1" outlineLevel="2" x14ac:dyDescent="0.15">
      <c r="A131" s="51" t="s">
        <v>112</v>
      </c>
      <c r="B131" s="8" t="s">
        <v>422</v>
      </c>
      <c r="C131" s="48"/>
      <c r="D131" s="43"/>
      <c r="E131" s="49"/>
      <c r="F131" s="51"/>
      <c r="G131" s="50"/>
      <c r="K131" s="386">
        <f>K128</f>
        <v>6160</v>
      </c>
      <c r="L131" s="378"/>
      <c r="M131" s="272"/>
      <c r="N131" s="272"/>
      <c r="O131" s="387">
        <f>O128</f>
        <v>6160</v>
      </c>
      <c r="P131" s="388"/>
    </row>
    <row r="132" spans="1:16" ht="13.5" customHeight="1" outlineLevel="2" x14ac:dyDescent="0.15">
      <c r="A132" s="51" t="s">
        <v>115</v>
      </c>
      <c r="B132" s="8" t="s">
        <v>423</v>
      </c>
      <c r="C132" s="48"/>
      <c r="D132" s="43"/>
      <c r="E132" s="49"/>
      <c r="F132" s="51"/>
      <c r="G132" s="50"/>
      <c r="K132" s="386">
        <f>K128-K131</f>
        <v>0</v>
      </c>
      <c r="L132" s="378"/>
      <c r="M132" s="272"/>
      <c r="N132" s="272"/>
      <c r="O132" s="387">
        <f>O128-O131</f>
        <v>0</v>
      </c>
      <c r="P132" s="388"/>
    </row>
    <row r="133" spans="1:16" x14ac:dyDescent="0.15">
      <c r="A133" s="1464" t="s">
        <v>424</v>
      </c>
      <c r="B133" s="1465"/>
      <c r="C133" s="288"/>
      <c r="D133" s="289"/>
      <c r="E133" s="289"/>
      <c r="F133" s="305"/>
      <c r="G133" s="325"/>
      <c r="H133" s="289"/>
      <c r="I133" s="289"/>
      <c r="J133" s="289"/>
      <c r="K133" s="371"/>
      <c r="L133" s="372"/>
      <c r="M133" s="373"/>
      <c r="N133" s="373"/>
      <c r="O133" s="321"/>
      <c r="P133" s="306"/>
    </row>
    <row r="134" spans="1:16" ht="13.5" customHeight="1" outlineLevel="2" x14ac:dyDescent="0.15">
      <c r="A134" s="51">
        <v>1</v>
      </c>
      <c r="B134" s="8" t="s">
        <v>86</v>
      </c>
      <c r="C134" s="48">
        <f>C64</f>
        <v>32000</v>
      </c>
      <c r="D134" s="43">
        <f t="shared" ref="D134:D139" si="8">C134/C$28*10000</f>
        <v>726.92578542059505</v>
      </c>
      <c r="E134" s="49"/>
      <c r="F134" s="51"/>
      <c r="G134" s="50"/>
      <c r="K134" s="393"/>
      <c r="L134" s="394"/>
      <c r="M134" s="395"/>
      <c r="N134" s="395"/>
      <c r="O134" s="217"/>
      <c r="P134" s="144"/>
    </row>
    <row r="135" spans="1:16" ht="13.5" customHeight="1" outlineLevel="2" x14ac:dyDescent="0.15">
      <c r="A135" s="51">
        <v>2</v>
      </c>
      <c r="B135" s="8" t="s">
        <v>385</v>
      </c>
      <c r="C135" s="48">
        <f>C65*80%</f>
        <v>3200</v>
      </c>
      <c r="D135" s="43">
        <f t="shared" si="8"/>
        <v>72.692578542059493</v>
      </c>
      <c r="E135" s="49"/>
      <c r="F135" s="51"/>
      <c r="G135" s="50"/>
      <c r="K135" s="393"/>
      <c r="L135" s="394"/>
      <c r="M135" s="395"/>
      <c r="N135" s="395"/>
      <c r="O135" s="217"/>
      <c r="P135" s="144"/>
    </row>
    <row r="136" spans="1:16" ht="13.5" customHeight="1" outlineLevel="2" x14ac:dyDescent="0.15">
      <c r="A136" s="51">
        <v>3</v>
      </c>
      <c r="B136" s="8" t="s">
        <v>425</v>
      </c>
      <c r="C136" s="48">
        <f>C83</f>
        <v>0</v>
      </c>
      <c r="D136" s="43">
        <f t="shared" si="8"/>
        <v>0</v>
      </c>
      <c r="E136" s="49"/>
      <c r="F136" s="51"/>
      <c r="G136" s="50"/>
      <c r="K136" s="393"/>
      <c r="L136" s="394"/>
      <c r="M136" s="395"/>
      <c r="N136" s="395"/>
      <c r="O136" s="217"/>
      <c r="P136" s="144"/>
    </row>
    <row r="137" spans="1:16" ht="13.5" customHeight="1" outlineLevel="1" x14ac:dyDescent="0.15">
      <c r="A137" s="51" t="s">
        <v>40</v>
      </c>
      <c r="B137" s="8" t="s">
        <v>257</v>
      </c>
      <c r="C137" s="48">
        <f>C136+C135+C134</f>
        <v>35200</v>
      </c>
      <c r="D137" s="43">
        <f t="shared" si="8"/>
        <v>799.61836396265403</v>
      </c>
      <c r="E137" s="49"/>
      <c r="F137" s="51"/>
      <c r="G137" s="50"/>
      <c r="K137" s="393"/>
      <c r="L137" s="394"/>
      <c r="M137" s="395"/>
      <c r="N137" s="395"/>
      <c r="O137" s="217"/>
      <c r="P137" s="144"/>
    </row>
    <row r="138" spans="1:16" ht="13.5" customHeight="1" outlineLevel="2" x14ac:dyDescent="0.15">
      <c r="A138" s="51" t="s">
        <v>45</v>
      </c>
      <c r="B138" s="8" t="s">
        <v>258</v>
      </c>
      <c r="C138" s="48"/>
      <c r="D138" s="43">
        <f t="shared" si="8"/>
        <v>0</v>
      </c>
      <c r="E138" s="49"/>
      <c r="F138" s="51"/>
      <c r="G138" s="50"/>
      <c r="K138" s="393"/>
      <c r="L138" s="394"/>
      <c r="M138" s="395"/>
      <c r="N138" s="395"/>
      <c r="O138" s="217"/>
      <c r="P138" s="144"/>
    </row>
    <row r="139" spans="1:16" ht="13.5" customHeight="1" outlineLevel="2" x14ac:dyDescent="0.15">
      <c r="A139" s="51" t="s">
        <v>83</v>
      </c>
      <c r="B139" s="8" t="s">
        <v>261</v>
      </c>
      <c r="C139" s="48"/>
      <c r="D139" s="43">
        <f t="shared" si="8"/>
        <v>0</v>
      </c>
      <c r="E139" s="49"/>
      <c r="F139" s="51"/>
      <c r="G139" s="50"/>
      <c r="K139" s="393"/>
      <c r="L139" s="394"/>
      <c r="M139" s="395"/>
      <c r="N139" s="395"/>
      <c r="O139" s="217"/>
      <c r="P139" s="144"/>
    </row>
    <row r="140" spans="1:16" ht="13.5" customHeight="1" outlineLevel="2" x14ac:dyDescent="0.15">
      <c r="A140" s="51" t="s">
        <v>105</v>
      </c>
      <c r="B140" s="8" t="s">
        <v>421</v>
      </c>
      <c r="C140" s="48"/>
      <c r="D140" s="43"/>
      <c r="E140" s="49"/>
      <c r="F140" s="51"/>
      <c r="G140" s="50"/>
      <c r="K140" s="393"/>
      <c r="L140" s="394"/>
      <c r="M140" s="395"/>
      <c r="N140" s="395"/>
      <c r="O140" s="217"/>
      <c r="P140" s="144"/>
    </row>
    <row r="141" spans="1:16" hidden="1" x14ac:dyDescent="0.15">
      <c r="A141" s="17" t="s">
        <v>426</v>
      </c>
      <c r="B141" s="19"/>
      <c r="C141" s="19"/>
      <c r="D141" s="20"/>
      <c r="E141" s="20"/>
      <c r="F141" s="21"/>
      <c r="G141" s="22"/>
      <c r="H141" s="20"/>
      <c r="I141" s="20"/>
      <c r="J141" s="20"/>
      <c r="K141" s="396"/>
      <c r="L141" s="110"/>
      <c r="M141" s="110"/>
      <c r="N141" s="110"/>
      <c r="O141" s="111"/>
      <c r="P141" s="140"/>
    </row>
    <row r="142" spans="1:16" hidden="1" x14ac:dyDescent="0.15">
      <c r="A142" s="1462" t="s">
        <v>15</v>
      </c>
      <c r="B142" s="1463"/>
      <c r="C142" s="288" t="s">
        <v>22</v>
      </c>
      <c r="D142" s="289" t="s">
        <v>37</v>
      </c>
      <c r="E142" s="289" t="s">
        <v>377</v>
      </c>
      <c r="F142" s="305"/>
      <c r="G142" s="325"/>
      <c r="H142" s="289"/>
      <c r="I142" s="289"/>
      <c r="J142" s="289"/>
      <c r="K142" s="370"/>
      <c r="L142" s="316"/>
      <c r="M142" s="316"/>
      <c r="N142" s="316"/>
      <c r="O142" s="287"/>
      <c r="P142" s="306"/>
    </row>
    <row r="143" spans="1:16" hidden="1" x14ac:dyDescent="0.15">
      <c r="A143" s="40" t="s">
        <v>40</v>
      </c>
      <c r="B143" s="41" t="s">
        <v>379</v>
      </c>
      <c r="C143" s="48">
        <f>C144+C145+C146+C147</f>
        <v>284812</v>
      </c>
      <c r="D143" s="43">
        <f>C143/C$28*10000</f>
        <v>6469.9120874128303</v>
      </c>
      <c r="E143" s="49"/>
      <c r="F143" s="51"/>
      <c r="G143" s="50"/>
      <c r="K143" s="397"/>
      <c r="P143" s="144"/>
    </row>
    <row r="144" spans="1:16" hidden="1" x14ac:dyDescent="0.15">
      <c r="A144" s="47">
        <v>1</v>
      </c>
      <c r="B144" s="7" t="s">
        <v>60</v>
      </c>
      <c r="C144" s="48">
        <v>207899</v>
      </c>
      <c r="D144" s="43" t="s">
        <v>302</v>
      </c>
      <c r="E144" s="49">
        <v>0.82699999999999996</v>
      </c>
      <c r="F144" s="51"/>
      <c r="G144" s="50"/>
      <c r="K144" s="397" t="s">
        <v>427</v>
      </c>
      <c r="P144" s="144"/>
    </row>
    <row r="145" spans="1:16" hidden="1" x14ac:dyDescent="0.15">
      <c r="A145" s="47">
        <v>2</v>
      </c>
      <c r="B145" s="7" t="s">
        <v>65</v>
      </c>
      <c r="C145" s="48">
        <v>21380</v>
      </c>
      <c r="D145" s="43" t="s">
        <v>302</v>
      </c>
      <c r="E145" s="49">
        <v>8.5000000000000006E-2</v>
      </c>
      <c r="F145" s="51"/>
      <c r="G145" s="50"/>
      <c r="K145" s="397" t="s">
        <v>428</v>
      </c>
      <c r="P145" s="144"/>
    </row>
    <row r="146" spans="1:16" hidden="1" x14ac:dyDescent="0.15">
      <c r="A146" s="47">
        <v>3</v>
      </c>
      <c r="B146" s="7" t="s">
        <v>71</v>
      </c>
      <c r="C146" s="48">
        <v>22212</v>
      </c>
      <c r="D146" s="43" t="s">
        <v>302</v>
      </c>
      <c r="E146" s="49">
        <v>8.7999999999999995E-2</v>
      </c>
      <c r="F146" s="51"/>
      <c r="G146" s="50"/>
      <c r="K146" s="397" t="s">
        <v>429</v>
      </c>
      <c r="P146" s="144"/>
    </row>
    <row r="147" spans="1:16" hidden="1" x14ac:dyDescent="0.15">
      <c r="A147" s="47">
        <v>4</v>
      </c>
      <c r="B147" s="7" t="s">
        <v>383</v>
      </c>
      <c r="C147" s="48">
        <v>33321</v>
      </c>
      <c r="D147" s="43" t="s">
        <v>302</v>
      </c>
      <c r="E147" s="49"/>
      <c r="F147" s="51"/>
      <c r="G147" s="50"/>
      <c r="K147" s="397" t="s">
        <v>430</v>
      </c>
      <c r="P147" s="144"/>
    </row>
    <row r="148" spans="1:16" hidden="1" x14ac:dyDescent="0.15">
      <c r="A148" s="40" t="s">
        <v>45</v>
      </c>
      <c r="B148" s="52" t="s">
        <v>130</v>
      </c>
      <c r="C148" s="53">
        <v>57229</v>
      </c>
      <c r="D148" s="43">
        <f>C148/C$28*10000</f>
        <v>1300.03861793235</v>
      </c>
      <c r="E148" s="49"/>
      <c r="F148" s="51"/>
      <c r="G148" s="50"/>
      <c r="K148" s="397"/>
      <c r="P148" s="144"/>
    </row>
    <row r="149" spans="1:16" hidden="1" x14ac:dyDescent="0.15">
      <c r="A149" s="40"/>
      <c r="B149" s="52" t="s">
        <v>131</v>
      </c>
      <c r="C149" s="53"/>
      <c r="D149" s="43"/>
      <c r="E149" s="49"/>
      <c r="F149" s="51"/>
      <c r="G149" s="50"/>
      <c r="K149" s="397" t="s">
        <v>431</v>
      </c>
      <c r="P149" s="144"/>
    </row>
    <row r="150" spans="1:16" ht="40.5" hidden="1" x14ac:dyDescent="0.15">
      <c r="A150" s="40"/>
      <c r="B150" s="52" t="s">
        <v>385</v>
      </c>
      <c r="C150" s="53"/>
      <c r="D150" s="43"/>
      <c r="E150" s="49"/>
      <c r="F150" s="51"/>
      <c r="G150" s="50"/>
      <c r="K150" s="397" t="s">
        <v>432</v>
      </c>
      <c r="P150" s="144"/>
    </row>
    <row r="151" spans="1:16" hidden="1" x14ac:dyDescent="0.15">
      <c r="A151" s="54" t="s">
        <v>83</v>
      </c>
      <c r="B151" s="52" t="s">
        <v>386</v>
      </c>
      <c r="C151" s="53">
        <v>116510</v>
      </c>
      <c r="D151" s="209">
        <f t="shared" ref="D151:D155" si="9">C151/C$28*10000</f>
        <v>2646.6913518547999</v>
      </c>
      <c r="E151" s="63"/>
      <c r="F151" s="155"/>
      <c r="G151" s="156"/>
      <c r="H151" s="390"/>
      <c r="I151" s="390"/>
      <c r="J151" s="390"/>
      <c r="K151" s="397" t="s">
        <v>433</v>
      </c>
      <c r="P151" s="144"/>
    </row>
    <row r="152" spans="1:16" hidden="1" x14ac:dyDescent="0.15">
      <c r="A152" s="54"/>
      <c r="B152" s="69" t="s">
        <v>434</v>
      </c>
      <c r="C152" s="53"/>
      <c r="D152" s="209"/>
      <c r="E152" s="63"/>
      <c r="F152" s="155"/>
      <c r="G152" s="156"/>
      <c r="H152" s="390"/>
      <c r="I152" s="390"/>
      <c r="J152" s="390"/>
      <c r="K152" s="397"/>
      <c r="P152" s="144"/>
    </row>
    <row r="153" spans="1:16" hidden="1" x14ac:dyDescent="0.15">
      <c r="A153" s="54"/>
      <c r="B153" s="69" t="s">
        <v>435</v>
      </c>
      <c r="C153" s="53"/>
      <c r="D153" s="209"/>
      <c r="E153" s="63"/>
      <c r="F153" s="155"/>
      <c r="G153" s="156"/>
      <c r="H153" s="390"/>
      <c r="I153" s="390"/>
      <c r="J153" s="390"/>
      <c r="K153" s="397"/>
      <c r="P153" s="144"/>
    </row>
    <row r="154" spans="1:16" hidden="1" outlineLevel="1" x14ac:dyDescent="0.15">
      <c r="A154" s="54">
        <v>1</v>
      </c>
      <c r="B154" s="55" t="s">
        <v>133</v>
      </c>
      <c r="C154" s="56">
        <f>C63</f>
        <v>153274</v>
      </c>
      <c r="D154" s="57">
        <f t="shared" si="9"/>
        <v>3481.8382135798802</v>
      </c>
      <c r="E154" s="58"/>
      <c r="F154" s="61"/>
      <c r="G154" s="60"/>
      <c r="H154" s="3"/>
      <c r="I154" s="3"/>
      <c r="J154" s="3"/>
      <c r="K154" s="397"/>
      <c r="P154" s="144"/>
    </row>
    <row r="155" spans="1:16" ht="27" hidden="1" outlineLevel="1" x14ac:dyDescent="0.15">
      <c r="A155" s="54">
        <v>2</v>
      </c>
      <c r="B155" s="55" t="s">
        <v>134</v>
      </c>
      <c r="C155" s="56"/>
      <c r="D155" s="57">
        <f t="shared" si="9"/>
        <v>0</v>
      </c>
      <c r="E155" s="58"/>
      <c r="F155" s="61"/>
      <c r="G155" s="60"/>
      <c r="H155" s="3"/>
      <c r="I155" s="3"/>
      <c r="J155" s="3"/>
      <c r="K155" s="397"/>
      <c r="P155" s="144"/>
    </row>
    <row r="156" spans="1:16" hidden="1" outlineLevel="1" x14ac:dyDescent="0.15">
      <c r="A156" s="54">
        <v>3</v>
      </c>
      <c r="B156" s="55" t="s">
        <v>436</v>
      </c>
      <c r="C156" s="56">
        <f>C151-C154-C157</f>
        <v>-71764</v>
      </c>
      <c r="D156" s="57"/>
      <c r="E156" s="58"/>
      <c r="F156" s="61"/>
      <c r="G156" s="60"/>
      <c r="H156" s="3"/>
      <c r="I156" s="3"/>
      <c r="J156" s="3"/>
      <c r="K156" s="397"/>
      <c r="P156" s="144"/>
    </row>
    <row r="157" spans="1:16" hidden="1" outlineLevel="1" x14ac:dyDescent="0.15">
      <c r="A157" s="54">
        <v>4</v>
      </c>
      <c r="B157" s="55" t="s">
        <v>390</v>
      </c>
      <c r="C157" s="56">
        <v>35000</v>
      </c>
      <c r="D157" s="57">
        <f t="shared" ref="D157:D175" si="10">C157/C$28*10000</f>
        <v>795.075077803775</v>
      </c>
      <c r="E157" s="58"/>
      <c r="F157" s="61"/>
      <c r="G157" s="60"/>
      <c r="H157" s="3"/>
      <c r="I157" s="3"/>
      <c r="J157" s="3"/>
      <c r="K157" s="397"/>
      <c r="P157" s="144"/>
    </row>
    <row r="158" spans="1:16" hidden="1" collapsed="1" x14ac:dyDescent="0.15">
      <c r="A158" s="47" t="s">
        <v>105</v>
      </c>
      <c r="B158" s="52" t="s">
        <v>137</v>
      </c>
      <c r="C158" s="53">
        <f>C159+C160+C163</f>
        <v>41783</v>
      </c>
      <c r="D158" s="209">
        <f t="shared" si="10"/>
        <v>949.16062788214697</v>
      </c>
      <c r="E158" s="63"/>
      <c r="F158" s="155"/>
      <c r="G158" s="156"/>
      <c r="H158" s="390"/>
      <c r="I158" s="390"/>
      <c r="J158" s="390"/>
      <c r="K158" s="397"/>
      <c r="P158" s="144"/>
    </row>
    <row r="159" spans="1:16" hidden="1" x14ac:dyDescent="0.15">
      <c r="A159" s="47">
        <v>1</v>
      </c>
      <c r="B159" s="41" t="s">
        <v>89</v>
      </c>
      <c r="C159" s="42">
        <v>5784</v>
      </c>
      <c r="D159" s="211">
        <f t="shared" si="10"/>
        <v>131.39183571477199</v>
      </c>
      <c r="E159" s="44"/>
      <c r="F159" s="16"/>
      <c r="G159" s="46"/>
      <c r="H159" s="1"/>
      <c r="I159" s="1"/>
      <c r="J159" s="1"/>
      <c r="K159" s="397" t="s">
        <v>437</v>
      </c>
      <c r="P159" s="144"/>
    </row>
    <row r="160" spans="1:16" ht="27" hidden="1" outlineLevel="1" x14ac:dyDescent="0.15">
      <c r="A160" s="47">
        <v>2</v>
      </c>
      <c r="B160" s="41" t="s">
        <v>93</v>
      </c>
      <c r="C160" s="42">
        <v>15592</v>
      </c>
      <c r="D160" s="211">
        <f t="shared" si="10"/>
        <v>354.19458894618498</v>
      </c>
      <c r="E160" s="44"/>
      <c r="F160" s="16"/>
      <c r="G160" s="46"/>
      <c r="H160" s="1"/>
      <c r="I160" s="1"/>
      <c r="J160" s="1"/>
      <c r="K160" s="397" t="s">
        <v>438</v>
      </c>
      <c r="P160" s="144"/>
    </row>
    <row r="161" spans="1:16" ht="27" hidden="1" outlineLevel="1" x14ac:dyDescent="0.15">
      <c r="A161" s="47">
        <v>2.1</v>
      </c>
      <c r="B161" s="7" t="s">
        <v>138</v>
      </c>
      <c r="C161" s="48">
        <f>C160-C162</f>
        <v>8861</v>
      </c>
      <c r="D161" s="43">
        <f t="shared" si="10"/>
        <v>201.290293269122</v>
      </c>
      <c r="E161" s="49"/>
      <c r="F161" s="51"/>
      <c r="G161" s="50"/>
      <c r="K161" s="397"/>
      <c r="P161" s="144"/>
    </row>
    <row r="162" spans="1:16" hidden="1" outlineLevel="1" x14ac:dyDescent="0.15">
      <c r="A162" s="47">
        <v>2.2000000000000002</v>
      </c>
      <c r="B162" s="7" t="s">
        <v>139</v>
      </c>
      <c r="C162" s="48">
        <v>6731</v>
      </c>
      <c r="D162" s="43">
        <f t="shared" si="10"/>
        <v>152.904295677063</v>
      </c>
      <c r="E162" s="49"/>
      <c r="F162" s="51"/>
      <c r="G162" s="50"/>
      <c r="K162" s="397"/>
      <c r="P162" s="144"/>
    </row>
    <row r="163" spans="1:16" ht="27" hidden="1" collapsed="1" x14ac:dyDescent="0.15">
      <c r="A163" s="47">
        <v>3</v>
      </c>
      <c r="B163" s="41" t="s">
        <v>98</v>
      </c>
      <c r="C163" s="42">
        <v>20407</v>
      </c>
      <c r="D163" s="211">
        <f t="shared" si="10"/>
        <v>463.57420322118998</v>
      </c>
      <c r="E163" s="44"/>
      <c r="F163" s="16"/>
      <c r="G163" s="46"/>
      <c r="H163" s="1"/>
      <c r="I163" s="1"/>
      <c r="J163" s="1"/>
      <c r="K163" s="397" t="s">
        <v>439</v>
      </c>
      <c r="P163" s="144"/>
    </row>
    <row r="164" spans="1:16" hidden="1" outlineLevel="1" x14ac:dyDescent="0.15">
      <c r="A164" s="47">
        <v>3.1</v>
      </c>
      <c r="B164" s="7" t="s">
        <v>140</v>
      </c>
      <c r="C164" s="48">
        <f>C163-C166-C165</f>
        <v>17048</v>
      </c>
      <c r="D164" s="43">
        <f t="shared" si="10"/>
        <v>387.26971218282199</v>
      </c>
      <c r="E164" s="49"/>
      <c r="F164" s="51"/>
      <c r="G164" s="50"/>
      <c r="K164" s="397"/>
      <c r="P164" s="144"/>
    </row>
    <row r="165" spans="1:16" hidden="1" outlineLevel="1" x14ac:dyDescent="0.15">
      <c r="A165" s="47">
        <v>3.2</v>
      </c>
      <c r="B165" s="7" t="s">
        <v>141</v>
      </c>
      <c r="C165" s="48"/>
      <c r="D165" s="43">
        <f t="shared" si="10"/>
        <v>0</v>
      </c>
      <c r="E165" s="49"/>
      <c r="F165" s="51"/>
      <c r="G165" s="50"/>
      <c r="K165" s="397"/>
      <c r="P165" s="144"/>
    </row>
    <row r="166" spans="1:16" hidden="1" outlineLevel="1" x14ac:dyDescent="0.15">
      <c r="A166" s="47">
        <v>3.4</v>
      </c>
      <c r="B166" s="7" t="s">
        <v>142</v>
      </c>
      <c r="C166" s="48">
        <v>3359</v>
      </c>
      <c r="D166" s="43">
        <f t="shared" si="10"/>
        <v>76.304491038368099</v>
      </c>
      <c r="E166" s="49"/>
      <c r="F166" s="51"/>
      <c r="G166" s="50"/>
      <c r="K166" s="397"/>
      <c r="P166" s="144"/>
    </row>
    <row r="167" spans="1:16" hidden="1" collapsed="1" x14ac:dyDescent="0.15">
      <c r="A167" s="47" t="s">
        <v>112</v>
      </c>
      <c r="B167" s="154" t="s">
        <v>398</v>
      </c>
      <c r="C167" s="53">
        <f>C168+C169+C170</f>
        <v>38689</v>
      </c>
      <c r="D167" s="209">
        <f t="shared" si="10"/>
        <v>878.87599100429304</v>
      </c>
      <c r="E167" s="63"/>
      <c r="F167" s="155"/>
      <c r="G167" s="156"/>
      <c r="H167" s="390"/>
      <c r="I167" s="390"/>
      <c r="J167" s="390"/>
      <c r="K167" s="397"/>
      <c r="P167" s="144"/>
    </row>
    <row r="168" spans="1:16" hidden="1" x14ac:dyDescent="0.15">
      <c r="A168" s="47">
        <v>5.0999999999999996</v>
      </c>
      <c r="B168" s="7" t="s">
        <v>143</v>
      </c>
      <c r="C168" s="48">
        <v>13725</v>
      </c>
      <c r="D168" s="43">
        <f t="shared" si="10"/>
        <v>311.78301265305203</v>
      </c>
      <c r="E168" s="49"/>
      <c r="F168" s="51"/>
      <c r="G168" s="50"/>
      <c r="K168" s="397" t="s">
        <v>440</v>
      </c>
      <c r="P168" s="144"/>
    </row>
    <row r="169" spans="1:16" hidden="1" x14ac:dyDescent="0.15">
      <c r="A169" s="47">
        <v>5.2</v>
      </c>
      <c r="B169" s="7" t="s">
        <v>144</v>
      </c>
      <c r="C169" s="48">
        <v>14764</v>
      </c>
      <c r="D169" s="43">
        <f t="shared" si="10"/>
        <v>335.38538424842699</v>
      </c>
      <c r="E169" s="49"/>
      <c r="F169" s="51"/>
      <c r="G169" s="50"/>
      <c r="K169" s="397" t="s">
        <v>440</v>
      </c>
      <c r="P169" s="144"/>
    </row>
    <row r="170" spans="1:16" hidden="1" x14ac:dyDescent="0.15">
      <c r="A170" s="47">
        <v>5.3</v>
      </c>
      <c r="B170" s="7" t="s">
        <v>145</v>
      </c>
      <c r="C170" s="48">
        <v>10200</v>
      </c>
      <c r="D170" s="43">
        <f t="shared" si="10"/>
        <v>231.70759410281499</v>
      </c>
      <c r="E170" s="49"/>
      <c r="F170" s="51"/>
      <c r="G170" s="50"/>
      <c r="K170" s="397" t="s">
        <v>440</v>
      </c>
      <c r="P170" s="144"/>
    </row>
    <row r="171" spans="1:16" ht="27" hidden="1" x14ac:dyDescent="0.15">
      <c r="A171" s="64" t="s">
        <v>115</v>
      </c>
      <c r="B171" s="154" t="s">
        <v>146</v>
      </c>
      <c r="C171" s="53">
        <f>C143-C148-C151-C158-C167-1</f>
        <v>30600</v>
      </c>
      <c r="D171" s="209">
        <f t="shared" si="10"/>
        <v>695.12278230844402</v>
      </c>
      <c r="E171" s="63"/>
      <c r="F171" s="155"/>
      <c r="G171" s="156"/>
      <c r="H171" s="390"/>
      <c r="I171" s="390"/>
      <c r="J171" s="390"/>
      <c r="K171" s="397"/>
      <c r="P171" s="144"/>
    </row>
    <row r="172" spans="1:16" hidden="1" x14ac:dyDescent="0.15">
      <c r="A172" s="47" t="s">
        <v>117</v>
      </c>
      <c r="B172" s="8" t="s">
        <v>148</v>
      </c>
      <c r="C172" s="48">
        <f>C171</f>
        <v>30600</v>
      </c>
      <c r="D172" s="43">
        <f t="shared" si="10"/>
        <v>695.12278230844402</v>
      </c>
      <c r="E172" s="49"/>
      <c r="F172" s="51"/>
      <c r="G172" s="50"/>
      <c r="K172" s="397"/>
      <c r="P172" s="144"/>
    </row>
    <row r="173" spans="1:16" ht="13.5" hidden="1" customHeight="1" outlineLevel="2" x14ac:dyDescent="0.15">
      <c r="A173" s="51">
        <v>7.1</v>
      </c>
      <c r="B173" s="8" t="s">
        <v>400</v>
      </c>
      <c r="C173" s="48">
        <f>C172-C174-C175</f>
        <v>2185</v>
      </c>
      <c r="D173" s="43">
        <f t="shared" si="10"/>
        <v>49.63540128575</v>
      </c>
      <c r="E173" s="49"/>
      <c r="F173" s="51"/>
      <c r="G173" s="50"/>
      <c r="K173" s="397"/>
      <c r="P173" s="144"/>
    </row>
    <row r="174" spans="1:16" ht="13.5" hidden="1" customHeight="1" outlineLevel="2" x14ac:dyDescent="0.15">
      <c r="A174" s="47">
        <v>7.2</v>
      </c>
      <c r="B174" s="6" t="s">
        <v>149</v>
      </c>
      <c r="C174" s="48">
        <v>5683</v>
      </c>
      <c r="D174" s="43">
        <f t="shared" si="10"/>
        <v>129.09747620453899</v>
      </c>
      <c r="E174" s="49"/>
      <c r="F174" s="51"/>
      <c r="G174" s="50"/>
      <c r="K174" s="397"/>
      <c r="P174" s="144"/>
    </row>
    <row r="175" spans="1:16" ht="13.5" hidden="1" customHeight="1" outlineLevel="2" x14ac:dyDescent="0.15">
      <c r="A175" s="47">
        <v>7.3</v>
      </c>
      <c r="B175" s="6" t="s">
        <v>441</v>
      </c>
      <c r="C175" s="48">
        <f>C174/20%*0.8</f>
        <v>22732</v>
      </c>
      <c r="D175" s="43">
        <f t="shared" si="10"/>
        <v>516.38990481815495</v>
      </c>
      <c r="E175" s="49"/>
      <c r="F175" s="51"/>
      <c r="G175" s="50"/>
      <c r="K175" s="397"/>
      <c r="P175" s="144"/>
    </row>
    <row r="176" spans="1:16" hidden="1" collapsed="1" x14ac:dyDescent="0.15">
      <c r="A176" s="311" t="s">
        <v>151</v>
      </c>
      <c r="B176" s="312"/>
      <c r="C176" s="313"/>
      <c r="D176" s="314"/>
      <c r="E176" s="315"/>
      <c r="F176" s="318"/>
      <c r="G176" s="318"/>
      <c r="H176" s="315"/>
      <c r="I176" s="315"/>
      <c r="J176" s="315"/>
      <c r="K176" s="398"/>
      <c r="L176" s="399"/>
      <c r="M176" s="399"/>
      <c r="N176" s="399"/>
      <c r="O176" s="323"/>
      <c r="P176" s="320"/>
    </row>
    <row r="177" spans="1:16" hidden="1" x14ac:dyDescent="0.15">
      <c r="A177" s="1469" t="s">
        <v>153</v>
      </c>
      <c r="B177" s="7" t="s">
        <v>152</v>
      </c>
      <c r="C177" s="48"/>
      <c r="D177" s="43">
        <f t="shared" ref="D177:D190" si="11">C177/C$28*10000</f>
        <v>0</v>
      </c>
      <c r="E177" s="163"/>
      <c r="F177" s="51"/>
      <c r="G177" s="50"/>
      <c r="K177" s="397"/>
      <c r="P177" s="144"/>
    </row>
    <row r="178" spans="1:16" hidden="1" x14ac:dyDescent="0.15">
      <c r="A178" s="1469"/>
      <c r="B178" s="7" t="s">
        <v>154</v>
      </c>
      <c r="C178" s="48"/>
      <c r="D178" s="43">
        <f t="shared" si="11"/>
        <v>0</v>
      </c>
      <c r="E178" s="163"/>
      <c r="F178" s="51"/>
      <c r="G178" s="50"/>
      <c r="K178" s="397"/>
      <c r="P178" s="144"/>
    </row>
    <row r="179" spans="1:16" hidden="1" x14ac:dyDescent="0.15">
      <c r="A179" s="1469"/>
      <c r="B179" s="7" t="s">
        <v>155</v>
      </c>
      <c r="C179" s="48"/>
      <c r="D179" s="43">
        <f t="shared" si="11"/>
        <v>0</v>
      </c>
      <c r="E179" s="163"/>
      <c r="F179" s="51"/>
      <c r="G179" s="50"/>
      <c r="K179" s="397"/>
      <c r="P179" s="144"/>
    </row>
    <row r="180" spans="1:16" hidden="1" x14ac:dyDescent="0.15">
      <c r="A180" s="1469"/>
      <c r="B180" s="7" t="s">
        <v>156</v>
      </c>
      <c r="C180" s="48"/>
      <c r="D180" s="43">
        <f t="shared" si="11"/>
        <v>0</v>
      </c>
      <c r="E180" s="163"/>
      <c r="F180" s="51"/>
      <c r="G180" s="50"/>
      <c r="K180" s="397"/>
      <c r="P180" s="144"/>
    </row>
    <row r="181" spans="1:16" hidden="1" x14ac:dyDescent="0.15">
      <c r="A181" s="1469" t="s">
        <v>157</v>
      </c>
      <c r="B181" s="7" t="s">
        <v>403</v>
      </c>
      <c r="C181" s="48"/>
      <c r="D181" s="43">
        <f t="shared" si="11"/>
        <v>0</v>
      </c>
      <c r="E181" s="163"/>
      <c r="F181" s="51"/>
      <c r="G181" s="50"/>
      <c r="K181" s="397"/>
      <c r="P181" s="144"/>
    </row>
    <row r="182" spans="1:16" hidden="1" x14ac:dyDescent="0.15">
      <c r="A182" s="1469"/>
      <c r="B182" s="7" t="s">
        <v>161</v>
      </c>
      <c r="C182" s="48"/>
      <c r="D182" s="43">
        <f t="shared" si="11"/>
        <v>0</v>
      </c>
      <c r="E182" s="163"/>
      <c r="F182" s="51"/>
      <c r="G182" s="50"/>
      <c r="K182" s="397"/>
      <c r="P182" s="144"/>
    </row>
    <row r="183" spans="1:16" hidden="1" x14ac:dyDescent="0.15">
      <c r="A183" s="1469"/>
      <c r="B183" s="7" t="s">
        <v>404</v>
      </c>
      <c r="C183" s="48"/>
      <c r="D183" s="43">
        <f t="shared" si="11"/>
        <v>0</v>
      </c>
      <c r="E183" s="163"/>
      <c r="F183" s="51"/>
      <c r="G183" s="50"/>
      <c r="K183" s="397"/>
      <c r="P183" s="144"/>
    </row>
    <row r="184" spans="1:16" hidden="1" x14ac:dyDescent="0.15">
      <c r="A184" s="1469"/>
      <c r="B184" s="7" t="s">
        <v>163</v>
      </c>
      <c r="C184" s="48"/>
      <c r="D184" s="43">
        <f t="shared" si="11"/>
        <v>0</v>
      </c>
      <c r="E184" s="163"/>
      <c r="F184" s="51"/>
      <c r="G184" s="50"/>
      <c r="K184" s="397"/>
      <c r="P184" s="144"/>
    </row>
    <row r="185" spans="1:16" hidden="1" x14ac:dyDescent="0.15">
      <c r="A185" s="1469"/>
      <c r="B185" s="7" t="s">
        <v>164</v>
      </c>
      <c r="C185" s="48"/>
      <c r="D185" s="43">
        <f t="shared" si="11"/>
        <v>0</v>
      </c>
      <c r="E185" s="163"/>
      <c r="F185" s="51"/>
      <c r="G185" s="50"/>
      <c r="K185" s="397"/>
      <c r="P185" s="144"/>
    </row>
    <row r="186" spans="1:16" hidden="1" x14ac:dyDescent="0.15">
      <c r="A186" s="1469"/>
      <c r="B186" s="7" t="s">
        <v>165</v>
      </c>
      <c r="C186" s="48"/>
      <c r="D186" s="43">
        <f t="shared" si="11"/>
        <v>0</v>
      </c>
      <c r="E186" s="49"/>
      <c r="F186" s="51"/>
      <c r="G186" s="50"/>
      <c r="K186" s="397"/>
      <c r="P186" s="144"/>
    </row>
    <row r="187" spans="1:16" ht="27" hidden="1" x14ac:dyDescent="0.15">
      <c r="A187" s="1469"/>
      <c r="B187" s="7" t="s">
        <v>166</v>
      </c>
      <c r="C187" s="48"/>
      <c r="D187" s="43">
        <f t="shared" si="11"/>
        <v>0</v>
      </c>
      <c r="E187" s="49"/>
      <c r="F187" s="51"/>
      <c r="G187" s="50"/>
      <c r="K187" s="397"/>
      <c r="P187" s="144"/>
    </row>
    <row r="188" spans="1:16" ht="27" hidden="1" x14ac:dyDescent="0.15">
      <c r="A188" s="1469"/>
      <c r="B188" s="7" t="s">
        <v>167</v>
      </c>
      <c r="C188" s="48"/>
      <c r="D188" s="43">
        <f t="shared" si="11"/>
        <v>0</v>
      </c>
      <c r="E188" s="49"/>
      <c r="F188" s="51"/>
      <c r="G188" s="50"/>
      <c r="K188" s="397"/>
      <c r="P188" s="144"/>
    </row>
    <row r="189" spans="1:16" hidden="1" x14ac:dyDescent="0.15">
      <c r="A189" s="1469" t="s">
        <v>405</v>
      </c>
      <c r="B189" s="7" t="s">
        <v>406</v>
      </c>
      <c r="C189" s="48"/>
      <c r="D189" s="43">
        <f t="shared" si="11"/>
        <v>0</v>
      </c>
      <c r="E189" s="49"/>
      <c r="F189" s="51"/>
      <c r="G189" s="50"/>
      <c r="K189" s="397"/>
      <c r="P189" s="144"/>
    </row>
    <row r="190" spans="1:16" hidden="1" x14ac:dyDescent="0.15">
      <c r="A190" s="1469"/>
      <c r="B190" s="7" t="s">
        <v>407</v>
      </c>
      <c r="C190" s="48"/>
      <c r="D190" s="43">
        <f t="shared" si="11"/>
        <v>0</v>
      </c>
      <c r="E190" s="49"/>
      <c r="F190" s="51"/>
      <c r="G190" s="50"/>
      <c r="K190" s="397"/>
      <c r="P190" s="144"/>
    </row>
    <row r="191" spans="1:16" hidden="1" outlineLevel="1" x14ac:dyDescent="0.15">
      <c r="A191" s="1469"/>
      <c r="B191" s="7" t="s">
        <v>408</v>
      </c>
      <c r="C191" s="48"/>
      <c r="D191" s="43"/>
      <c r="E191" s="49"/>
      <c r="F191" s="51"/>
      <c r="G191" s="50"/>
      <c r="K191" s="397"/>
      <c r="P191" s="144"/>
    </row>
    <row r="192" spans="1:16" ht="27" hidden="1" outlineLevel="1" x14ac:dyDescent="0.15">
      <c r="A192" s="1469"/>
      <c r="B192" s="7" t="s">
        <v>409</v>
      </c>
      <c r="C192" s="48"/>
      <c r="D192" s="43"/>
      <c r="E192" s="49"/>
      <c r="F192" s="51"/>
      <c r="G192" s="50"/>
      <c r="K192" s="397"/>
      <c r="P192" s="144"/>
    </row>
    <row r="193" spans="1:16" hidden="1" collapsed="1" x14ac:dyDescent="0.15">
      <c r="A193" s="1469"/>
      <c r="B193" s="7" t="s">
        <v>410</v>
      </c>
      <c r="C193" s="48"/>
      <c r="D193" s="43">
        <f t="shared" ref="D193:D197" si="12">C193/C$28*10000</f>
        <v>0</v>
      </c>
      <c r="E193" s="49"/>
      <c r="F193" s="51"/>
      <c r="G193" s="50"/>
      <c r="K193" s="397"/>
      <c r="P193" s="144"/>
    </row>
    <row r="194" spans="1:16" hidden="1" x14ac:dyDescent="0.15">
      <c r="A194" s="1469"/>
      <c r="B194" s="7" t="s">
        <v>411</v>
      </c>
      <c r="C194" s="48"/>
      <c r="D194" s="43"/>
      <c r="E194" s="49"/>
      <c r="F194" s="51"/>
      <c r="G194" s="50"/>
      <c r="K194" s="397"/>
      <c r="P194" s="144"/>
    </row>
    <row r="195" spans="1:16" ht="27" hidden="1" x14ac:dyDescent="0.15">
      <c r="A195" s="1469"/>
      <c r="B195" s="7" t="s">
        <v>412</v>
      </c>
      <c r="C195" s="48"/>
      <c r="D195" s="43"/>
      <c r="E195" s="49"/>
      <c r="F195" s="51"/>
      <c r="G195" s="50"/>
      <c r="K195" s="397"/>
      <c r="P195" s="144"/>
    </row>
    <row r="196" spans="1:16" ht="27" hidden="1" x14ac:dyDescent="0.15">
      <c r="A196" s="1469"/>
      <c r="B196" s="7" t="s">
        <v>108</v>
      </c>
      <c r="C196" s="48"/>
      <c r="D196" s="43">
        <f t="shared" si="12"/>
        <v>0</v>
      </c>
      <c r="E196" s="49"/>
      <c r="F196" s="51"/>
      <c r="G196" s="50"/>
      <c r="K196" s="397"/>
      <c r="P196" s="144"/>
    </row>
    <row r="197" spans="1:16" hidden="1" x14ac:dyDescent="0.15">
      <c r="A197" s="1469"/>
      <c r="B197" s="7" t="s">
        <v>413</v>
      </c>
      <c r="C197" s="48"/>
      <c r="D197" s="43">
        <f t="shared" si="12"/>
        <v>0</v>
      </c>
      <c r="E197" s="49"/>
      <c r="F197" s="51"/>
      <c r="G197" s="50"/>
      <c r="K197" s="397"/>
      <c r="P197" s="144"/>
    </row>
    <row r="198" spans="1:16" hidden="1" outlineLevel="1" x14ac:dyDescent="0.15">
      <c r="A198" s="1469"/>
      <c r="B198" s="7" t="s">
        <v>173</v>
      </c>
      <c r="C198" s="48"/>
      <c r="D198" s="43"/>
      <c r="E198" s="49"/>
      <c r="F198" s="51"/>
      <c r="G198" s="50"/>
      <c r="K198" s="397"/>
      <c r="P198" s="144"/>
    </row>
    <row r="199" spans="1:16" ht="27" hidden="1" outlineLevel="1" x14ac:dyDescent="0.15">
      <c r="A199" s="1469"/>
      <c r="B199" s="7" t="s">
        <v>174</v>
      </c>
      <c r="C199" s="48"/>
      <c r="D199" s="43"/>
      <c r="E199" s="49"/>
      <c r="F199" s="51"/>
      <c r="G199" s="50"/>
      <c r="K199" s="397"/>
      <c r="P199" s="144"/>
    </row>
    <row r="200" spans="1:16" hidden="1" collapsed="1" x14ac:dyDescent="0.15">
      <c r="A200" s="1469"/>
      <c r="B200" s="7" t="s">
        <v>414</v>
      </c>
      <c r="C200" s="48"/>
      <c r="D200" s="43">
        <f t="shared" ref="D200:D206" si="13">C200/C$28*10000</f>
        <v>0</v>
      </c>
      <c r="E200" s="49"/>
      <c r="F200" s="51"/>
      <c r="G200" s="50"/>
      <c r="K200" s="397"/>
      <c r="P200" s="144"/>
    </row>
    <row r="201" spans="1:16" hidden="1" x14ac:dyDescent="0.15">
      <c r="A201" s="1469"/>
      <c r="B201" s="7" t="s">
        <v>411</v>
      </c>
      <c r="C201" s="48"/>
      <c r="D201" s="43"/>
      <c r="E201" s="49"/>
      <c r="F201" s="51"/>
      <c r="G201" s="50"/>
      <c r="K201" s="397"/>
      <c r="P201" s="144"/>
    </row>
    <row r="202" spans="1:16" ht="27" hidden="1" x14ac:dyDescent="0.15">
      <c r="A202" s="1469"/>
      <c r="B202" s="7" t="s">
        <v>412</v>
      </c>
      <c r="C202" s="48"/>
      <c r="D202" s="43"/>
      <c r="E202" s="49"/>
      <c r="F202" s="51"/>
      <c r="G202" s="50"/>
      <c r="K202" s="397"/>
      <c r="P202" s="144"/>
    </row>
    <row r="203" spans="1:16" hidden="1" x14ac:dyDescent="0.15">
      <c r="A203" s="1469"/>
      <c r="B203" s="7" t="s">
        <v>109</v>
      </c>
      <c r="D203" s="43">
        <f t="shared" si="13"/>
        <v>0</v>
      </c>
      <c r="F203" s="51"/>
      <c r="G203" s="50"/>
      <c r="K203" s="397"/>
      <c r="P203" s="144"/>
    </row>
    <row r="204" spans="1:16" hidden="1" x14ac:dyDescent="0.15">
      <c r="A204" s="1469"/>
      <c r="B204" s="7" t="s">
        <v>110</v>
      </c>
      <c r="D204" s="43">
        <f t="shared" si="13"/>
        <v>0</v>
      </c>
      <c r="F204" s="51"/>
      <c r="G204" s="50"/>
      <c r="K204" s="397"/>
      <c r="P204" s="144"/>
    </row>
    <row r="205" spans="1:16" hidden="1" x14ac:dyDescent="0.15">
      <c r="A205" s="1469"/>
      <c r="B205" s="7" t="s">
        <v>111</v>
      </c>
      <c r="D205" s="43">
        <f t="shared" si="13"/>
        <v>0</v>
      </c>
      <c r="F205" s="51"/>
      <c r="G205" s="50"/>
      <c r="K205" s="397"/>
      <c r="P205" s="144"/>
    </row>
    <row r="206" spans="1:16" hidden="1" x14ac:dyDescent="0.15">
      <c r="A206" s="47" t="s">
        <v>176</v>
      </c>
      <c r="B206" s="7" t="s">
        <v>177</v>
      </c>
      <c r="C206" s="48"/>
      <c r="D206" s="43">
        <f t="shared" si="13"/>
        <v>0</v>
      </c>
      <c r="E206" s="49"/>
      <c r="F206" s="51"/>
      <c r="G206" s="50"/>
      <c r="K206" s="397"/>
      <c r="P206" s="144"/>
    </row>
    <row r="207" spans="1:16" hidden="1" x14ac:dyDescent="0.15">
      <c r="A207" s="17" t="s">
        <v>442</v>
      </c>
      <c r="B207" s="18"/>
      <c r="C207" s="19"/>
      <c r="D207" s="20"/>
      <c r="E207" s="20"/>
      <c r="F207" s="22"/>
      <c r="G207" s="22"/>
      <c r="H207" s="20"/>
      <c r="I207" s="20"/>
      <c r="J207" s="20"/>
      <c r="K207" s="396"/>
      <c r="L207" s="110"/>
      <c r="M207" s="110"/>
      <c r="N207" s="110"/>
      <c r="O207" s="111"/>
      <c r="P207" s="140"/>
    </row>
    <row r="208" spans="1:16" hidden="1" x14ac:dyDescent="0.15">
      <c r="A208" s="1466" t="s">
        <v>443</v>
      </c>
      <c r="B208" s="1467"/>
      <c r="C208" s="288"/>
      <c r="D208" s="289"/>
      <c r="E208" s="289"/>
      <c r="F208" s="325"/>
      <c r="G208" s="325"/>
      <c r="H208" s="289"/>
      <c r="I208" s="289"/>
      <c r="J208" s="289"/>
      <c r="K208" s="370"/>
      <c r="L208" s="316"/>
      <c r="M208" s="316"/>
      <c r="N208" s="316"/>
      <c r="O208" s="287"/>
      <c r="P208" s="306"/>
    </row>
    <row r="209" spans="1:16" ht="13.5" hidden="1" customHeight="1" outlineLevel="2" x14ac:dyDescent="0.15">
      <c r="A209" s="47">
        <v>1</v>
      </c>
      <c r="B209" s="7" t="s">
        <v>139</v>
      </c>
      <c r="C209" s="48">
        <f>C162</f>
        <v>6731</v>
      </c>
      <c r="D209" s="43">
        <f t="shared" ref="D209:D213" si="14">C209/C$28*10000</f>
        <v>152.904295677063</v>
      </c>
      <c r="E209" s="49"/>
      <c r="F209" s="51"/>
      <c r="G209" s="50"/>
      <c r="K209" s="397" t="s">
        <v>444</v>
      </c>
      <c r="P209" s="144"/>
    </row>
    <row r="210" spans="1:16" ht="13.5" hidden="1" customHeight="1" outlineLevel="2" x14ac:dyDescent="0.15">
      <c r="A210" s="47">
        <v>2</v>
      </c>
      <c r="B210" s="7" t="s">
        <v>256</v>
      </c>
      <c r="C210" s="48">
        <f>C166</f>
        <v>3359</v>
      </c>
      <c r="D210" s="43">
        <f t="shared" si="14"/>
        <v>76.304491038368099</v>
      </c>
      <c r="E210" s="49"/>
      <c r="F210" s="51"/>
      <c r="G210" s="50"/>
      <c r="K210" s="397" t="s">
        <v>445</v>
      </c>
      <c r="P210" s="144"/>
    </row>
    <row r="211" spans="1:16" ht="13.5" hidden="1" customHeight="1" outlineLevel="2" x14ac:dyDescent="0.15">
      <c r="A211" s="47">
        <v>3</v>
      </c>
      <c r="B211" s="7" t="s">
        <v>417</v>
      </c>
      <c r="C211" s="48">
        <f>C157*20%</f>
        <v>7000</v>
      </c>
      <c r="D211" s="43">
        <f t="shared" si="14"/>
        <v>159.01501556075499</v>
      </c>
      <c r="E211" s="49" t="s">
        <v>446</v>
      </c>
      <c r="F211" s="51"/>
      <c r="G211" s="50"/>
      <c r="K211" s="397" t="s">
        <v>447</v>
      </c>
      <c r="P211" s="144"/>
    </row>
    <row r="212" spans="1:16" ht="13.5" hidden="1" customHeight="1" outlineLevel="2" x14ac:dyDescent="0.15">
      <c r="A212" s="47">
        <v>4</v>
      </c>
      <c r="B212" s="7" t="s">
        <v>193</v>
      </c>
      <c r="C212" s="48">
        <f>C174</f>
        <v>5683</v>
      </c>
      <c r="D212" s="43">
        <f t="shared" si="14"/>
        <v>129.09747620453899</v>
      </c>
      <c r="E212" s="49"/>
      <c r="F212" s="51"/>
      <c r="G212" s="50"/>
      <c r="K212" s="397" t="s">
        <v>448</v>
      </c>
      <c r="P212" s="144"/>
    </row>
    <row r="213" spans="1:16" ht="13.5" hidden="1" customHeight="1" outlineLevel="1" collapsed="1" x14ac:dyDescent="0.15">
      <c r="A213" s="47" t="s">
        <v>40</v>
      </c>
      <c r="B213" s="7" t="s">
        <v>257</v>
      </c>
      <c r="C213" s="48">
        <f>C209+C210+C211+C212</f>
        <v>22773</v>
      </c>
      <c r="D213" s="43">
        <f t="shared" si="14"/>
        <v>517.32127848072503</v>
      </c>
      <c r="E213" s="49" t="s">
        <v>449</v>
      </c>
      <c r="F213" s="51"/>
      <c r="G213" s="50"/>
      <c r="K213" s="397"/>
      <c r="P213" s="144"/>
    </row>
    <row r="214" spans="1:16" ht="13.5" hidden="1" customHeight="1" outlineLevel="3" x14ac:dyDescent="0.15">
      <c r="A214" s="47"/>
      <c r="B214" s="7" t="s">
        <v>450</v>
      </c>
      <c r="C214" s="48"/>
      <c r="D214" s="43"/>
      <c r="E214" s="49"/>
      <c r="F214" s="51"/>
      <c r="G214" s="50"/>
      <c r="K214" s="397" t="s">
        <v>451</v>
      </c>
      <c r="P214" s="144"/>
    </row>
    <row r="215" spans="1:16" ht="13.5" hidden="1" customHeight="1" outlineLevel="3" x14ac:dyDescent="0.15">
      <c r="A215" s="47"/>
      <c r="B215" s="7" t="s">
        <v>452</v>
      </c>
      <c r="C215" s="48"/>
      <c r="D215" s="43"/>
      <c r="E215" s="49"/>
      <c r="F215" s="51"/>
      <c r="G215" s="50"/>
      <c r="K215" s="397"/>
      <c r="P215" s="144"/>
    </row>
    <row r="216" spans="1:16" ht="13.5" hidden="1" customHeight="1" outlineLevel="2" collapsed="1" x14ac:dyDescent="0.15">
      <c r="A216" s="47"/>
      <c r="B216" s="7" t="s">
        <v>453</v>
      </c>
      <c r="C216" s="48"/>
      <c r="D216" s="43"/>
      <c r="E216" s="49"/>
      <c r="F216" s="51"/>
      <c r="G216" s="50"/>
      <c r="K216" s="397"/>
      <c r="P216" s="144"/>
    </row>
    <row r="217" spans="1:16" ht="13.5" hidden="1" customHeight="1" outlineLevel="2" x14ac:dyDescent="0.15">
      <c r="A217" s="47"/>
      <c r="B217" s="7" t="s">
        <v>454</v>
      </c>
      <c r="C217" s="48"/>
      <c r="D217" s="43"/>
      <c r="E217" s="49"/>
      <c r="F217" s="51"/>
      <c r="G217" s="50"/>
      <c r="K217" s="397"/>
      <c r="P217" s="144"/>
    </row>
    <row r="218" spans="1:16" ht="13.5" hidden="1" customHeight="1" outlineLevel="2" x14ac:dyDescent="0.15">
      <c r="A218" s="47" t="s">
        <v>45</v>
      </c>
      <c r="B218" s="7" t="s">
        <v>258</v>
      </c>
      <c r="C218" s="48">
        <f>C138</f>
        <v>0</v>
      </c>
      <c r="D218" s="43">
        <f t="shared" ref="D218:D220" si="15">C218/C$28*10000</f>
        <v>0</v>
      </c>
      <c r="E218" s="49"/>
      <c r="F218" s="51"/>
      <c r="G218" s="50"/>
      <c r="K218" s="397"/>
      <c r="P218" s="144"/>
    </row>
    <row r="219" spans="1:16" ht="13.5" hidden="1" customHeight="1" outlineLevel="2" x14ac:dyDescent="0.15">
      <c r="A219" s="47" t="s">
        <v>83</v>
      </c>
      <c r="B219" s="7" t="s">
        <v>261</v>
      </c>
      <c r="C219" s="48"/>
      <c r="D219" s="43">
        <f t="shared" si="15"/>
        <v>0</v>
      </c>
      <c r="E219" s="49"/>
      <c r="F219" s="51"/>
      <c r="G219" s="50"/>
      <c r="K219" s="397"/>
      <c r="P219" s="144"/>
    </row>
    <row r="220" spans="1:16" ht="13.5" hidden="1" customHeight="1" outlineLevel="2" x14ac:dyDescent="0.15">
      <c r="A220" s="47" t="s">
        <v>105</v>
      </c>
      <c r="B220" s="7" t="s">
        <v>421</v>
      </c>
      <c r="C220" s="221"/>
      <c r="D220" s="222">
        <f t="shared" si="15"/>
        <v>0</v>
      </c>
      <c r="E220" s="223"/>
      <c r="F220" s="51"/>
      <c r="G220" s="50"/>
      <c r="K220" s="397"/>
      <c r="P220" s="144"/>
    </row>
    <row r="221" spans="1:16" hidden="1" collapsed="1" x14ac:dyDescent="0.15">
      <c r="A221" s="1466" t="s">
        <v>455</v>
      </c>
      <c r="B221" s="1467"/>
      <c r="C221" s="288"/>
      <c r="D221" s="289"/>
      <c r="E221" s="289"/>
      <c r="F221" s="325"/>
      <c r="G221" s="325"/>
      <c r="H221" s="289"/>
      <c r="I221" s="289"/>
      <c r="J221" s="289"/>
      <c r="K221" s="370"/>
      <c r="L221" s="316"/>
      <c r="M221" s="316"/>
      <c r="N221" s="316"/>
      <c r="O221" s="287"/>
      <c r="P221" s="306"/>
    </row>
    <row r="222" spans="1:16" ht="13.5" hidden="1" customHeight="1" outlineLevel="2" x14ac:dyDescent="0.15">
      <c r="A222" s="47">
        <v>1</v>
      </c>
      <c r="B222" s="7" t="s">
        <v>86</v>
      </c>
      <c r="C222" s="48">
        <f>C155</f>
        <v>0</v>
      </c>
      <c r="D222" s="43">
        <f t="shared" ref="D222:D227" si="16">C222/C$28*10000</f>
        <v>0</v>
      </c>
      <c r="E222" s="49"/>
      <c r="F222" s="51"/>
      <c r="G222" s="50"/>
      <c r="K222" s="397"/>
      <c r="P222" s="144"/>
    </row>
    <row r="223" spans="1:16" ht="13.5" hidden="1" customHeight="1" outlineLevel="2" x14ac:dyDescent="0.15">
      <c r="A223" s="47">
        <v>2</v>
      </c>
      <c r="B223" s="7" t="s">
        <v>456</v>
      </c>
      <c r="C223" s="48">
        <f>C157*80%</f>
        <v>28000</v>
      </c>
      <c r="D223" s="43">
        <f t="shared" si="16"/>
        <v>636.06006224301996</v>
      </c>
      <c r="E223" s="49"/>
      <c r="F223" s="51"/>
      <c r="G223" s="50"/>
      <c r="K223" s="397"/>
      <c r="P223" s="144"/>
    </row>
    <row r="224" spans="1:16" ht="13.5" hidden="1" customHeight="1" outlineLevel="2" x14ac:dyDescent="0.15">
      <c r="A224" s="47">
        <v>3</v>
      </c>
      <c r="B224" s="7" t="s">
        <v>425</v>
      </c>
      <c r="C224" s="48">
        <f>C175</f>
        <v>22732</v>
      </c>
      <c r="D224" s="43">
        <f t="shared" si="16"/>
        <v>516.38990481815495</v>
      </c>
      <c r="E224" s="49"/>
      <c r="F224" s="51"/>
      <c r="G224" s="50"/>
      <c r="K224" s="397"/>
      <c r="P224" s="144"/>
    </row>
    <row r="225" spans="1:16" ht="13.5" hidden="1" customHeight="1" outlineLevel="1" collapsed="1" x14ac:dyDescent="0.15">
      <c r="A225" s="47" t="s">
        <v>40</v>
      </c>
      <c r="B225" s="7" t="s">
        <v>257</v>
      </c>
      <c r="C225" s="48">
        <f>C224+C223+C222</f>
        <v>50732</v>
      </c>
      <c r="D225" s="43">
        <f t="shared" si="16"/>
        <v>1152.4499670611799</v>
      </c>
      <c r="E225" s="49"/>
      <c r="F225" s="51"/>
      <c r="G225" s="50"/>
      <c r="K225" s="397"/>
      <c r="P225" s="144"/>
    </row>
    <row r="226" spans="1:16" ht="13.5" hidden="1" customHeight="1" outlineLevel="2" x14ac:dyDescent="0.15">
      <c r="A226" s="47" t="s">
        <v>45</v>
      </c>
      <c r="B226" s="7" t="s">
        <v>258</v>
      </c>
      <c r="C226" s="48"/>
      <c r="D226" s="43">
        <f t="shared" si="16"/>
        <v>0</v>
      </c>
      <c r="E226" s="49"/>
      <c r="F226" s="51"/>
      <c r="G226" s="50"/>
      <c r="K226" s="397"/>
      <c r="P226" s="144"/>
    </row>
    <row r="227" spans="1:16" ht="13.5" hidden="1" customHeight="1" outlineLevel="2" x14ac:dyDescent="0.15">
      <c r="A227" s="47" t="s">
        <v>83</v>
      </c>
      <c r="B227" s="7" t="s">
        <v>261</v>
      </c>
      <c r="C227" s="48"/>
      <c r="D227" s="43">
        <f t="shared" si="16"/>
        <v>0</v>
      </c>
      <c r="E227" s="49"/>
      <c r="F227" s="51"/>
      <c r="G227" s="50"/>
      <c r="K227" s="397"/>
      <c r="P227" s="144"/>
    </row>
    <row r="228" spans="1:16" ht="13.5" hidden="1" customHeight="1" outlineLevel="2" x14ac:dyDescent="0.15">
      <c r="A228" s="224" t="s">
        <v>105</v>
      </c>
      <c r="B228" s="225" t="s">
        <v>421</v>
      </c>
      <c r="C228" s="226"/>
      <c r="D228" s="227"/>
      <c r="E228" s="228"/>
      <c r="F228" s="229"/>
      <c r="G228" s="230"/>
      <c r="H228" s="400"/>
      <c r="I228" s="400"/>
      <c r="J228" s="400"/>
      <c r="K228" s="403"/>
      <c r="L228" s="404"/>
      <c r="M228" s="404"/>
      <c r="N228" s="404"/>
      <c r="O228" s="271"/>
      <c r="P228" s="239"/>
    </row>
    <row r="229" spans="1:16" collapsed="1" x14ac:dyDescent="0.15"/>
    <row r="243" spans="1:5" x14ac:dyDescent="0.15">
      <c r="A243" s="9"/>
      <c r="B243" s="9" t="s">
        <v>457</v>
      </c>
      <c r="C243" s="401"/>
    </row>
    <row r="244" spans="1:5" x14ac:dyDescent="0.15">
      <c r="A244" s="9"/>
      <c r="B244" s="9" t="s">
        <v>458</v>
      </c>
      <c r="C244" s="401" t="s">
        <v>22</v>
      </c>
      <c r="D244" s="9" t="s">
        <v>459</v>
      </c>
      <c r="E244" s="9" t="s">
        <v>460</v>
      </c>
    </row>
    <row r="245" spans="1:5" x14ac:dyDescent="0.15">
      <c r="A245" s="9"/>
      <c r="B245" s="402">
        <v>44162</v>
      </c>
      <c r="C245" s="401">
        <v>20000000</v>
      </c>
      <c r="D245" s="9" t="s">
        <v>41</v>
      </c>
    </row>
    <row r="246" spans="1:5" x14ac:dyDescent="0.15">
      <c r="A246" s="9"/>
      <c r="B246" s="402">
        <v>44180</v>
      </c>
      <c r="C246" s="401">
        <v>30000000</v>
      </c>
      <c r="D246" s="9" t="s">
        <v>41</v>
      </c>
    </row>
    <row r="247" spans="1:5" x14ac:dyDescent="0.15">
      <c r="A247" s="9"/>
      <c r="B247" s="402">
        <v>44253</v>
      </c>
      <c r="C247" s="401">
        <v>5000000</v>
      </c>
      <c r="D247" s="9" t="s">
        <v>72</v>
      </c>
    </row>
    <row r="248" spans="1:5" x14ac:dyDescent="0.15">
      <c r="A248" s="9"/>
      <c r="B248" s="402">
        <v>44294</v>
      </c>
      <c r="C248" s="401">
        <v>5000000</v>
      </c>
      <c r="D248" s="9" t="s">
        <v>72</v>
      </c>
    </row>
    <row r="249" spans="1:5" x14ac:dyDescent="0.15">
      <c r="A249" s="9"/>
      <c r="B249" s="402">
        <v>44442</v>
      </c>
      <c r="C249" s="401">
        <v>2500000</v>
      </c>
      <c r="D249" s="9" t="s">
        <v>41</v>
      </c>
    </row>
    <row r="250" spans="1:5" x14ac:dyDescent="0.15">
      <c r="A250" s="9"/>
      <c r="B250" s="402">
        <v>44484</v>
      </c>
      <c r="C250" s="401">
        <v>8000000</v>
      </c>
      <c r="D250" s="9" t="s">
        <v>41</v>
      </c>
    </row>
    <row r="251" spans="1:5" x14ac:dyDescent="0.15">
      <c r="A251" s="9"/>
      <c r="B251" s="402">
        <v>44497</v>
      </c>
      <c r="C251" s="401">
        <v>1100000</v>
      </c>
      <c r="D251" s="9" t="s">
        <v>41</v>
      </c>
    </row>
    <row r="252" spans="1:5" x14ac:dyDescent="0.15">
      <c r="A252" s="9"/>
      <c r="B252" s="402">
        <v>44670</v>
      </c>
      <c r="C252" s="401">
        <v>-10000000</v>
      </c>
      <c r="D252" s="9" t="s">
        <v>461</v>
      </c>
    </row>
    <row r="253" spans="1:5" x14ac:dyDescent="0.15">
      <c r="A253" s="9"/>
      <c r="B253" s="402">
        <v>44670</v>
      </c>
      <c r="C253" s="401">
        <v>-7100000</v>
      </c>
      <c r="D253" s="9" t="s">
        <v>461</v>
      </c>
    </row>
    <row r="254" spans="1:5" x14ac:dyDescent="0.15">
      <c r="A254" s="9"/>
      <c r="B254" s="402">
        <v>44671</v>
      </c>
      <c r="C254" s="401">
        <v>-9900000</v>
      </c>
      <c r="D254" s="9" t="s">
        <v>461</v>
      </c>
    </row>
    <row r="255" spans="1:5" x14ac:dyDescent="0.15">
      <c r="A255" s="9"/>
      <c r="B255" s="402">
        <v>44671</v>
      </c>
      <c r="C255" s="401">
        <v>-5000000</v>
      </c>
      <c r="D255" s="9" t="s">
        <v>461</v>
      </c>
    </row>
    <row r="256" spans="1:5" x14ac:dyDescent="0.15">
      <c r="A256" s="9"/>
      <c r="B256" s="402">
        <v>44736</v>
      </c>
      <c r="C256" s="401">
        <v>-2842500</v>
      </c>
      <c r="D256" s="9" t="s">
        <v>462</v>
      </c>
    </row>
    <row r="257" spans="1:4" x14ac:dyDescent="0.15">
      <c r="A257" s="9"/>
      <c r="B257" s="402">
        <v>44736</v>
      </c>
      <c r="C257" s="401">
        <v>-20500000</v>
      </c>
      <c r="D257" s="9" t="s">
        <v>461</v>
      </c>
    </row>
    <row r="258" spans="1:4" x14ac:dyDescent="0.15">
      <c r="A258" s="9"/>
      <c r="B258" s="402">
        <v>44736</v>
      </c>
      <c r="C258" s="401">
        <v>-9100000</v>
      </c>
      <c r="D258" s="9" t="s">
        <v>461</v>
      </c>
    </row>
    <row r="259" spans="1:4" x14ac:dyDescent="0.15">
      <c r="A259" s="9"/>
      <c r="B259" s="9"/>
      <c r="C259" s="401"/>
    </row>
    <row r="260" spans="1:4" x14ac:dyDescent="0.15">
      <c r="A260" s="9"/>
      <c r="B260" s="9" t="s">
        <v>463</v>
      </c>
      <c r="C260" s="401">
        <f>SUM(C245:C259)</f>
        <v>7157500</v>
      </c>
    </row>
  </sheetData>
  <mergeCells count="64">
    <mergeCell ref="A208:B208"/>
    <mergeCell ref="A221:B221"/>
    <mergeCell ref="A5:A8"/>
    <mergeCell ref="A9:A12"/>
    <mergeCell ref="A13:A35"/>
    <mergeCell ref="A36:A41"/>
    <mergeCell ref="A45:A47"/>
    <mergeCell ref="A85:A88"/>
    <mergeCell ref="A89:A96"/>
    <mergeCell ref="A97:A113"/>
    <mergeCell ref="A177:A180"/>
    <mergeCell ref="A181:A188"/>
    <mergeCell ref="A189:A205"/>
    <mergeCell ref="B38:B40"/>
    <mergeCell ref="C43:E43"/>
    <mergeCell ref="A53:B53"/>
    <mergeCell ref="A116:B116"/>
    <mergeCell ref="A133:B133"/>
    <mergeCell ref="A142:B142"/>
    <mergeCell ref="C38:E38"/>
    <mergeCell ref="C39:E39"/>
    <mergeCell ref="C40:E40"/>
    <mergeCell ref="C41:E41"/>
    <mergeCell ref="C42:E42"/>
    <mergeCell ref="C33:E33"/>
    <mergeCell ref="C34:E34"/>
    <mergeCell ref="C35:E35"/>
    <mergeCell ref="C36:E36"/>
    <mergeCell ref="C37:E37"/>
    <mergeCell ref="C28:E28"/>
    <mergeCell ref="C29:E29"/>
    <mergeCell ref="C30:E30"/>
    <mergeCell ref="C31:E31"/>
    <mergeCell ref="C32:E32"/>
    <mergeCell ref="C23:E23"/>
    <mergeCell ref="C24:E24"/>
    <mergeCell ref="C25:E25"/>
    <mergeCell ref="C26:E26"/>
    <mergeCell ref="C27:E27"/>
    <mergeCell ref="C18:E18"/>
    <mergeCell ref="C19:E19"/>
    <mergeCell ref="C20:E20"/>
    <mergeCell ref="C21:E21"/>
    <mergeCell ref="C22:E22"/>
    <mergeCell ref="C13:E13"/>
    <mergeCell ref="C14:E14"/>
    <mergeCell ref="C15:E15"/>
    <mergeCell ref="C16:E16"/>
    <mergeCell ref="C17:E17"/>
    <mergeCell ref="C7:E7"/>
    <mergeCell ref="C8:E8"/>
    <mergeCell ref="C9:E9"/>
    <mergeCell ref="C10:E10"/>
    <mergeCell ref="C12:E12"/>
    <mergeCell ref="A3:B3"/>
    <mergeCell ref="C3:E3"/>
    <mergeCell ref="K3:L3"/>
    <mergeCell ref="C5:E5"/>
    <mergeCell ref="C6:E6"/>
    <mergeCell ref="A1:G1"/>
    <mergeCell ref="A2:E2"/>
    <mergeCell ref="I2:J2"/>
    <mergeCell ref="K2:L2"/>
    <mergeCell ref="O2:P2"/>
  </mergeCells>
  <phoneticPr fontId="62" type="noConversion"/>
  <pageMargins left="0.7" right="0.7" top="0.75" bottom="0.75" header="0.3" footer="0.3"/>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L226"/>
  <sheetViews>
    <sheetView zoomScale="90" zoomScaleNormal="90" workbookViewId="0">
      <pane xSplit="5" ySplit="4" topLeftCell="H111" activePane="bottomRight" state="frozen"/>
      <selection pane="topRight"/>
      <selection pane="bottomLeft"/>
      <selection pane="bottomRight" activeCell="J130" sqref="J130"/>
    </sheetView>
  </sheetViews>
  <sheetFormatPr defaultColWidth="9.75" defaultRowHeight="13.5" outlineLevelRow="3" x14ac:dyDescent="0.15"/>
  <cols>
    <col min="1" max="1" width="11.125" style="6" customWidth="1"/>
    <col min="2" max="2" width="20.5" style="7" customWidth="1"/>
    <col min="3" max="3" width="16.5" style="8" customWidth="1"/>
    <col min="4" max="4" width="13.25" style="9" customWidth="1"/>
    <col min="5" max="5" width="18.125" style="9" customWidth="1"/>
    <col min="6" max="8" width="16.5" style="8" customWidth="1"/>
    <col min="9" max="9" width="42.75" style="8" customWidth="1"/>
    <col min="10" max="10" width="31.75" style="13" customWidth="1"/>
    <col min="11" max="11" width="9.5" style="13"/>
    <col min="12" max="12" width="15.375" style="9" customWidth="1"/>
    <col min="13" max="16384" width="9.75" style="9"/>
  </cols>
  <sheetData>
    <row r="1" spans="1:12" s="3" customFormat="1" x14ac:dyDescent="0.15">
      <c r="A1" s="1470" t="s">
        <v>464</v>
      </c>
      <c r="B1" s="1470"/>
      <c r="C1" s="1470"/>
      <c r="D1" s="1470"/>
      <c r="E1" s="1470"/>
      <c r="F1" s="1470"/>
      <c r="G1" s="1470"/>
      <c r="H1" s="1470"/>
      <c r="I1" s="1470"/>
      <c r="J1" s="294"/>
      <c r="K1" s="294"/>
    </row>
    <row r="2" spans="1:12" s="272" customFormat="1" x14ac:dyDescent="0.15">
      <c r="A2" s="1471" t="s">
        <v>465</v>
      </c>
      <c r="B2" s="1472"/>
      <c r="C2" s="1472"/>
      <c r="D2" s="1472"/>
      <c r="E2" s="1472"/>
      <c r="F2" s="274"/>
      <c r="G2" s="274"/>
      <c r="H2" s="274"/>
      <c r="I2" s="295" t="s">
        <v>466</v>
      </c>
      <c r="J2" s="1473" t="s">
        <v>282</v>
      </c>
      <c r="K2" s="1474"/>
      <c r="L2" s="272" t="s">
        <v>283</v>
      </c>
    </row>
    <row r="3" spans="1:12" s="4" customFormat="1" x14ac:dyDescent="0.15">
      <c r="A3" s="1475" t="s">
        <v>284</v>
      </c>
      <c r="B3" s="1476"/>
      <c r="C3" s="1477"/>
      <c r="D3" s="1478"/>
      <c r="E3" s="1478"/>
      <c r="F3" s="69"/>
      <c r="G3" s="69"/>
      <c r="H3" s="69"/>
      <c r="I3" s="296" t="s">
        <v>467</v>
      </c>
      <c r="J3" s="297" t="s">
        <v>468</v>
      </c>
      <c r="K3" s="150" t="s">
        <v>290</v>
      </c>
    </row>
    <row r="4" spans="1:12" x14ac:dyDescent="0.15">
      <c r="A4" s="17" t="s">
        <v>291</v>
      </c>
      <c r="B4" s="18"/>
      <c r="C4" s="19"/>
      <c r="D4" s="275" t="s">
        <v>469</v>
      </c>
      <c r="E4" s="20"/>
      <c r="F4" s="276"/>
      <c r="G4" s="277" t="s">
        <v>470</v>
      </c>
      <c r="H4" s="276"/>
      <c r="I4" s="298"/>
      <c r="J4" s="95"/>
      <c r="K4" s="138"/>
    </row>
    <row r="5" spans="1:12" s="273" customFormat="1" ht="14.25" x14ac:dyDescent="0.3">
      <c r="A5" s="1482" t="s">
        <v>292</v>
      </c>
      <c r="B5" s="279" t="s">
        <v>293</v>
      </c>
      <c r="C5" s="1479"/>
      <c r="D5" s="1479"/>
      <c r="E5" s="1479"/>
      <c r="F5" s="281"/>
      <c r="G5" s="281"/>
      <c r="H5" s="281"/>
      <c r="I5" s="278" t="s">
        <v>471</v>
      </c>
      <c r="J5" s="299" t="s">
        <v>472</v>
      </c>
      <c r="K5" s="300"/>
    </row>
    <row r="6" spans="1:12" s="273" customFormat="1" ht="14.25" x14ac:dyDescent="0.3">
      <c r="A6" s="1482"/>
      <c r="B6" s="280" t="s">
        <v>295</v>
      </c>
      <c r="C6" s="1479"/>
      <c r="D6" s="1479"/>
      <c r="E6" s="1479"/>
      <c r="F6" s="281"/>
      <c r="G6" s="281"/>
      <c r="H6" s="281"/>
      <c r="I6" s="278" t="s">
        <v>471</v>
      </c>
      <c r="J6" s="299"/>
      <c r="K6" s="300"/>
    </row>
    <row r="7" spans="1:12" s="273" customFormat="1" ht="14.25" x14ac:dyDescent="0.3">
      <c r="A7" s="1482"/>
      <c r="B7" s="280" t="s">
        <v>297</v>
      </c>
      <c r="C7" s="1479"/>
      <c r="D7" s="1479"/>
      <c r="E7" s="1479"/>
      <c r="F7" s="281"/>
      <c r="G7" s="281"/>
      <c r="H7" s="281"/>
      <c r="I7" s="278" t="s">
        <v>471</v>
      </c>
      <c r="J7" s="299"/>
      <c r="K7" s="300"/>
    </row>
    <row r="8" spans="1:12" s="273" customFormat="1" ht="14.25" x14ac:dyDescent="0.3">
      <c r="A8" s="1482"/>
      <c r="B8" s="280" t="s">
        <v>299</v>
      </c>
      <c r="C8" s="1479"/>
      <c r="D8" s="1479"/>
      <c r="E8" s="1479"/>
      <c r="F8" s="281"/>
      <c r="G8" s="281"/>
      <c r="H8" s="281"/>
      <c r="I8" s="278" t="s">
        <v>471</v>
      </c>
      <c r="J8" s="299"/>
      <c r="K8" s="300"/>
    </row>
    <row r="9" spans="1:12" s="273" customFormat="1" ht="28.5" x14ac:dyDescent="0.3">
      <c r="A9" s="1482" t="s">
        <v>301</v>
      </c>
      <c r="B9" s="280" t="s">
        <v>302</v>
      </c>
      <c r="C9" s="1479"/>
      <c r="D9" s="1479"/>
      <c r="E9" s="1479"/>
      <c r="F9" s="281"/>
      <c r="G9" s="281"/>
      <c r="H9" s="281"/>
      <c r="I9" s="278" t="s">
        <v>303</v>
      </c>
      <c r="J9" s="299"/>
      <c r="K9" s="300"/>
    </row>
    <row r="10" spans="1:12" s="273" customFormat="1" ht="28.5" x14ac:dyDescent="0.3">
      <c r="A10" s="1482"/>
      <c r="B10" s="280" t="s">
        <v>302</v>
      </c>
      <c r="C10" s="1479"/>
      <c r="D10" s="1479"/>
      <c r="E10" s="1479"/>
      <c r="F10" s="281"/>
      <c r="G10" s="281"/>
      <c r="H10" s="281"/>
      <c r="I10" s="278" t="s">
        <v>473</v>
      </c>
      <c r="J10" s="299"/>
      <c r="K10" s="300"/>
    </row>
    <row r="11" spans="1:12" s="273" customFormat="1" ht="14.25" x14ac:dyDescent="0.3">
      <c r="A11" s="1482"/>
      <c r="B11" s="280"/>
      <c r="C11" s="280"/>
      <c r="D11" s="280"/>
      <c r="E11" s="280"/>
      <c r="F11" s="281"/>
      <c r="G11" s="281"/>
      <c r="H11" s="281"/>
      <c r="I11" s="278"/>
      <c r="J11" s="299"/>
      <c r="K11" s="300"/>
    </row>
    <row r="12" spans="1:12" s="273" customFormat="1" ht="14.25" x14ac:dyDescent="0.3">
      <c r="A12" s="1482"/>
      <c r="B12" s="280" t="s">
        <v>302</v>
      </c>
      <c r="C12" s="1479"/>
      <c r="D12" s="1479"/>
      <c r="E12" s="1479"/>
      <c r="F12" s="282"/>
      <c r="G12" s="282"/>
      <c r="H12" s="282"/>
      <c r="I12" s="59"/>
      <c r="J12" s="299"/>
      <c r="K12" s="300"/>
    </row>
    <row r="13" spans="1:12" s="273" customFormat="1" ht="14.25" x14ac:dyDescent="0.3">
      <c r="A13" s="1482" t="s">
        <v>310</v>
      </c>
      <c r="B13" s="280" t="s">
        <v>311</v>
      </c>
      <c r="C13" s="1480">
        <v>44713</v>
      </c>
      <c r="D13" s="1480"/>
      <c r="E13" s="1480"/>
      <c r="F13" s="1480">
        <v>44713</v>
      </c>
      <c r="G13" s="1480"/>
      <c r="H13" s="1480"/>
      <c r="I13" s="278"/>
      <c r="J13" s="299"/>
      <c r="K13" s="300"/>
    </row>
    <row r="14" spans="1:12" s="273" customFormat="1" ht="14.25" x14ac:dyDescent="0.3">
      <c r="A14" s="1482"/>
      <c r="B14" s="280" t="s">
        <v>312</v>
      </c>
      <c r="C14" s="1480"/>
      <c r="D14" s="1480"/>
      <c r="E14" s="1480"/>
      <c r="F14" s="1480"/>
      <c r="G14" s="1480"/>
      <c r="H14" s="1480"/>
      <c r="I14" s="278"/>
      <c r="J14" s="299"/>
      <c r="K14" s="300"/>
    </row>
    <row r="15" spans="1:12" s="273" customFormat="1" ht="14.25" x14ac:dyDescent="0.3">
      <c r="A15" s="1482"/>
      <c r="B15" s="280" t="s">
        <v>313</v>
      </c>
      <c r="C15" s="1480">
        <v>44743</v>
      </c>
      <c r="D15" s="1480"/>
      <c r="E15" s="1480"/>
      <c r="F15" s="1480">
        <v>44743</v>
      </c>
      <c r="G15" s="1480"/>
      <c r="H15" s="1480"/>
      <c r="I15" s="278"/>
      <c r="J15" s="299"/>
      <c r="K15" s="300"/>
    </row>
    <row r="16" spans="1:12" s="273" customFormat="1" ht="14.25" x14ac:dyDescent="0.3">
      <c r="A16" s="1482"/>
      <c r="B16" s="280" t="s">
        <v>314</v>
      </c>
      <c r="C16" s="1480">
        <v>44774</v>
      </c>
      <c r="D16" s="1480"/>
      <c r="E16" s="1480"/>
      <c r="F16" s="1480">
        <v>44774</v>
      </c>
      <c r="G16" s="1480"/>
      <c r="H16" s="1480"/>
      <c r="I16" s="278"/>
      <c r="J16" s="299"/>
      <c r="K16" s="300"/>
    </row>
    <row r="17" spans="1:11" s="273" customFormat="1" ht="14.25" x14ac:dyDescent="0.3">
      <c r="A17" s="1482"/>
      <c r="B17" s="280" t="s">
        <v>315</v>
      </c>
      <c r="C17" s="1480"/>
      <c r="D17" s="1480"/>
      <c r="E17" s="1480"/>
      <c r="F17" s="1480"/>
      <c r="G17" s="1480"/>
      <c r="H17" s="1480"/>
      <c r="I17" s="278"/>
      <c r="J17" s="299"/>
      <c r="K17" s="300"/>
    </row>
    <row r="18" spans="1:11" s="273" customFormat="1" ht="14.25" x14ac:dyDescent="0.3">
      <c r="A18" s="1482"/>
      <c r="B18" s="280" t="s">
        <v>316</v>
      </c>
      <c r="C18" s="1480">
        <v>44866</v>
      </c>
      <c r="D18" s="1480"/>
      <c r="E18" s="1480"/>
      <c r="F18" s="1480">
        <v>44866</v>
      </c>
      <c r="G18" s="1480"/>
      <c r="H18" s="1480"/>
      <c r="I18" s="278"/>
      <c r="J18" s="299"/>
      <c r="K18" s="300"/>
    </row>
    <row r="19" spans="1:11" s="273" customFormat="1" ht="14.25" x14ac:dyDescent="0.3">
      <c r="A19" s="1482"/>
      <c r="B19" s="280" t="s">
        <v>317</v>
      </c>
      <c r="C19" s="1480">
        <v>44958</v>
      </c>
      <c r="D19" s="1480"/>
      <c r="E19" s="1480"/>
      <c r="F19" s="1480">
        <v>44958</v>
      </c>
      <c r="G19" s="1480"/>
      <c r="H19" s="1480"/>
      <c r="I19" s="278"/>
      <c r="J19" s="299"/>
      <c r="K19" s="300"/>
    </row>
    <row r="20" spans="1:11" s="273" customFormat="1" ht="14.25" x14ac:dyDescent="0.3">
      <c r="A20" s="1482"/>
      <c r="B20" s="280" t="s">
        <v>318</v>
      </c>
      <c r="C20" s="1480"/>
      <c r="D20" s="1480"/>
      <c r="E20" s="1480"/>
      <c r="F20" s="1480"/>
      <c r="G20" s="1480"/>
      <c r="H20" s="1480"/>
      <c r="I20" s="278"/>
      <c r="J20" s="299"/>
      <c r="K20" s="300"/>
    </row>
    <row r="21" spans="1:11" s="273" customFormat="1" ht="14.25" x14ac:dyDescent="0.3">
      <c r="A21" s="1482"/>
      <c r="B21" s="280" t="s">
        <v>319</v>
      </c>
      <c r="C21" s="1480">
        <v>45017</v>
      </c>
      <c r="D21" s="1480"/>
      <c r="E21" s="1480"/>
      <c r="F21" s="1480">
        <v>45017</v>
      </c>
      <c r="G21" s="1480"/>
      <c r="H21" s="1480"/>
      <c r="I21" s="278"/>
      <c r="J21" s="299"/>
      <c r="K21" s="300"/>
    </row>
    <row r="22" spans="1:11" s="273" customFormat="1" ht="14.25" x14ac:dyDescent="0.3">
      <c r="A22" s="1482"/>
      <c r="B22" s="280" t="s">
        <v>320</v>
      </c>
      <c r="C22" s="1480">
        <v>45474</v>
      </c>
      <c r="D22" s="1480"/>
      <c r="E22" s="1480"/>
      <c r="F22" s="1480">
        <v>45474</v>
      </c>
      <c r="G22" s="1480"/>
      <c r="H22" s="1480"/>
      <c r="I22" s="278"/>
      <c r="J22" s="299"/>
      <c r="K22" s="300"/>
    </row>
    <row r="23" spans="1:11" s="273" customFormat="1" ht="14.25" x14ac:dyDescent="0.3">
      <c r="A23" s="1482"/>
      <c r="B23" s="280" t="s">
        <v>321</v>
      </c>
      <c r="C23" s="1480"/>
      <c r="D23" s="1480"/>
      <c r="E23" s="1480"/>
      <c r="F23" s="1480"/>
      <c r="G23" s="1480"/>
      <c r="H23" s="1480"/>
      <c r="I23" s="278"/>
      <c r="J23" s="299"/>
      <c r="K23" s="300"/>
    </row>
    <row r="24" spans="1:11" s="273" customFormat="1" ht="14.25" x14ac:dyDescent="0.3">
      <c r="A24" s="1482"/>
      <c r="B24" s="280" t="s">
        <v>322</v>
      </c>
      <c r="C24" s="1480"/>
      <c r="D24" s="1480"/>
      <c r="E24" s="1480"/>
      <c r="F24" s="1480"/>
      <c r="G24" s="1480"/>
      <c r="H24" s="1480"/>
      <c r="I24" s="278"/>
      <c r="J24" s="299"/>
      <c r="K24" s="300"/>
    </row>
    <row r="25" spans="1:11" s="273" customFormat="1" ht="14.25" x14ac:dyDescent="0.3">
      <c r="A25" s="1482"/>
      <c r="B25" s="280" t="s">
        <v>323</v>
      </c>
      <c r="C25" s="1479">
        <v>25269</v>
      </c>
      <c r="D25" s="1479"/>
      <c r="E25" s="1479"/>
      <c r="F25" s="1479">
        <v>89000</v>
      </c>
      <c r="G25" s="1479"/>
      <c r="H25" s="1479"/>
      <c r="I25" s="278">
        <f>25000+89000</f>
        <v>114000</v>
      </c>
      <c r="J25" s="299"/>
      <c r="K25" s="300"/>
    </row>
    <row r="26" spans="1:11" s="273" customFormat="1" ht="14.25" x14ac:dyDescent="0.3">
      <c r="A26" s="1482"/>
      <c r="B26" s="280" t="s">
        <v>326</v>
      </c>
      <c r="C26" s="1479" t="s">
        <v>474</v>
      </c>
      <c r="D26" s="1479"/>
      <c r="E26" s="1479"/>
      <c r="F26" s="1479" t="s">
        <v>474</v>
      </c>
      <c r="G26" s="1479"/>
      <c r="H26" s="1479"/>
      <c r="I26" s="278" t="s">
        <v>475</v>
      </c>
      <c r="J26" s="299"/>
      <c r="K26" s="300"/>
    </row>
    <row r="27" spans="1:11" s="273" customFormat="1" ht="14.25" x14ac:dyDescent="0.3">
      <c r="A27" s="1482"/>
      <c r="B27" s="280" t="s">
        <v>327</v>
      </c>
      <c r="C27" s="1479">
        <v>3</v>
      </c>
      <c r="D27" s="1479"/>
      <c r="E27" s="1479"/>
      <c r="F27" s="1479">
        <v>2.5</v>
      </c>
      <c r="G27" s="1479"/>
      <c r="H27" s="1479"/>
      <c r="I27" s="278"/>
      <c r="J27" s="299"/>
      <c r="K27" s="300"/>
    </row>
    <row r="28" spans="1:11" s="273" customFormat="1" ht="14.25" x14ac:dyDescent="0.3">
      <c r="A28" s="1482"/>
      <c r="B28" s="280" t="s">
        <v>328</v>
      </c>
      <c r="C28" s="1481">
        <v>102337</v>
      </c>
      <c r="D28" s="1481"/>
      <c r="E28" s="1481"/>
      <c r="F28" s="1481">
        <v>300305</v>
      </c>
      <c r="G28" s="1481"/>
      <c r="H28" s="1481"/>
      <c r="I28" s="278"/>
      <c r="J28" s="299"/>
      <c r="K28" s="300"/>
    </row>
    <row r="29" spans="1:11" s="273" customFormat="1" ht="14.25" outlineLevel="1" x14ac:dyDescent="0.3">
      <c r="A29" s="1482"/>
      <c r="B29" s="280" t="s">
        <v>329</v>
      </c>
      <c r="C29" s="1479"/>
      <c r="D29" s="1479"/>
      <c r="E29" s="1479"/>
      <c r="F29" s="1479"/>
      <c r="G29" s="1479"/>
      <c r="H29" s="1479"/>
      <c r="I29" s="278"/>
      <c r="J29" s="299"/>
      <c r="K29" s="300"/>
    </row>
    <row r="30" spans="1:11" s="273" customFormat="1" ht="14.25" outlineLevel="1" x14ac:dyDescent="0.3">
      <c r="A30" s="1482"/>
      <c r="B30" s="280" t="s">
        <v>330</v>
      </c>
      <c r="C30" s="1479">
        <v>75807</v>
      </c>
      <c r="D30" s="1479"/>
      <c r="E30" s="1479"/>
      <c r="F30" s="1479">
        <v>222500</v>
      </c>
      <c r="G30" s="1479"/>
      <c r="H30" s="1479"/>
      <c r="I30" s="278"/>
      <c r="J30" s="299"/>
      <c r="K30" s="300"/>
    </row>
    <row r="31" spans="1:11" s="273" customFormat="1" ht="14.25" outlineLevel="1" x14ac:dyDescent="0.3">
      <c r="A31" s="1482"/>
      <c r="B31" s="280" t="s">
        <v>333</v>
      </c>
      <c r="C31" s="1479">
        <v>26530</v>
      </c>
      <c r="D31" s="1479"/>
      <c r="E31" s="1479"/>
      <c r="F31" s="1479">
        <v>77805</v>
      </c>
      <c r="G31" s="1479"/>
      <c r="H31" s="1479"/>
      <c r="I31" s="278"/>
      <c r="J31" s="299"/>
      <c r="K31" s="300"/>
    </row>
    <row r="32" spans="1:11" s="273" customFormat="1" ht="14.25" x14ac:dyDescent="0.3">
      <c r="A32" s="1482"/>
      <c r="B32" s="280" t="s">
        <v>335</v>
      </c>
      <c r="C32" s="1479">
        <v>3790</v>
      </c>
      <c r="D32" s="1479"/>
      <c r="E32" s="1479"/>
      <c r="F32" s="1479">
        <v>11125</v>
      </c>
      <c r="G32" s="1479"/>
      <c r="H32" s="1479"/>
      <c r="I32" s="278"/>
      <c r="J32" s="299"/>
      <c r="K32" s="300"/>
    </row>
    <row r="33" spans="1:11" s="273" customFormat="1" ht="14.25" x14ac:dyDescent="0.3">
      <c r="A33" s="1482"/>
      <c r="B33" s="280" t="s">
        <v>337</v>
      </c>
      <c r="C33" s="1479"/>
      <c r="D33" s="1479"/>
      <c r="E33" s="1479"/>
      <c r="F33" s="1479"/>
      <c r="G33" s="1479"/>
      <c r="H33" s="1479"/>
      <c r="I33" s="278"/>
      <c r="J33" s="299"/>
      <c r="K33" s="300"/>
    </row>
    <row r="34" spans="1:11" s="273" customFormat="1" ht="14.25" x14ac:dyDescent="0.3">
      <c r="A34" s="1482"/>
      <c r="B34" s="280" t="s">
        <v>339</v>
      </c>
      <c r="C34" s="1479"/>
      <c r="D34" s="1479"/>
      <c r="E34" s="1479"/>
      <c r="F34" s="1479"/>
      <c r="G34" s="1479"/>
      <c r="H34" s="1479"/>
      <c r="I34" s="278"/>
      <c r="J34" s="299"/>
      <c r="K34" s="300"/>
    </row>
    <row r="35" spans="1:11" s="273" customFormat="1" ht="14.25" x14ac:dyDescent="0.3">
      <c r="A35" s="1482"/>
      <c r="B35" s="280" t="s">
        <v>340</v>
      </c>
      <c r="C35" s="1479"/>
      <c r="D35" s="1479"/>
      <c r="E35" s="1479"/>
      <c r="F35" s="1479"/>
      <c r="G35" s="1479"/>
      <c r="H35" s="1479"/>
      <c r="I35" s="278"/>
      <c r="J35" s="299"/>
      <c r="K35" s="300"/>
    </row>
    <row r="36" spans="1:11" s="273" customFormat="1" ht="14.25" x14ac:dyDescent="0.3">
      <c r="A36" s="1482" t="s">
        <v>342</v>
      </c>
      <c r="B36" s="280" t="s">
        <v>343</v>
      </c>
      <c r="C36" s="1479" t="s">
        <v>476</v>
      </c>
      <c r="D36" s="1479"/>
      <c r="E36" s="1479"/>
      <c r="F36" s="1479" t="s">
        <v>476</v>
      </c>
      <c r="G36" s="1479"/>
      <c r="H36" s="1479"/>
      <c r="I36" s="59" t="s">
        <v>477</v>
      </c>
      <c r="J36" s="299"/>
      <c r="K36" s="300"/>
    </row>
    <row r="37" spans="1:11" s="273" customFormat="1" ht="42.75" x14ac:dyDescent="0.3">
      <c r="A37" s="1482"/>
      <c r="B37" s="280" t="s">
        <v>345</v>
      </c>
      <c r="C37" s="1479"/>
      <c r="D37" s="1479"/>
      <c r="E37" s="1479"/>
      <c r="F37" s="280"/>
      <c r="G37" s="280"/>
      <c r="H37" s="280"/>
      <c r="I37" s="301" t="s">
        <v>478</v>
      </c>
      <c r="J37" s="302" t="s">
        <v>479</v>
      </c>
      <c r="K37" s="300"/>
    </row>
    <row r="38" spans="1:11" s="273" customFormat="1" ht="14.25" x14ac:dyDescent="0.3">
      <c r="A38" s="1482"/>
      <c r="B38" s="1479" t="s">
        <v>348</v>
      </c>
      <c r="C38" s="1479"/>
      <c r="D38" s="1479"/>
      <c r="E38" s="1479"/>
      <c r="F38" s="282"/>
      <c r="G38" s="282"/>
      <c r="H38" s="282"/>
      <c r="I38" s="59"/>
      <c r="J38" s="299"/>
      <c r="K38" s="300"/>
    </row>
    <row r="39" spans="1:11" s="273" customFormat="1" ht="14.25" x14ac:dyDescent="0.3">
      <c r="A39" s="1482"/>
      <c r="B39" s="1479"/>
      <c r="C39" s="1479"/>
      <c r="D39" s="1479"/>
      <c r="E39" s="1479"/>
      <c r="F39" s="282"/>
      <c r="G39" s="282"/>
      <c r="H39" s="282"/>
      <c r="I39" s="59"/>
      <c r="J39" s="299"/>
      <c r="K39" s="300"/>
    </row>
    <row r="40" spans="1:11" s="273" customFormat="1" ht="14.25" x14ac:dyDescent="0.3">
      <c r="A40" s="1482"/>
      <c r="B40" s="1479"/>
      <c r="C40" s="1479"/>
      <c r="D40" s="1479"/>
      <c r="E40" s="1479"/>
      <c r="F40" s="282"/>
      <c r="G40" s="282"/>
      <c r="H40" s="282"/>
      <c r="I40" s="59"/>
      <c r="J40" s="299"/>
      <c r="K40" s="300"/>
    </row>
    <row r="41" spans="1:11" s="273" customFormat="1" ht="14.25" x14ac:dyDescent="0.3">
      <c r="A41" s="1482"/>
      <c r="B41" s="280" t="s">
        <v>354</v>
      </c>
      <c r="C41" s="1479"/>
      <c r="D41" s="1479"/>
      <c r="E41" s="1479"/>
      <c r="F41" s="282"/>
      <c r="G41" s="282"/>
      <c r="H41" s="282"/>
      <c r="I41" s="59"/>
      <c r="J41" s="299"/>
      <c r="K41" s="300"/>
    </row>
    <row r="42" spans="1:11" s="273" customFormat="1" ht="14.25" x14ac:dyDescent="0.3">
      <c r="A42" s="278" t="s">
        <v>358</v>
      </c>
      <c r="B42" s="280"/>
      <c r="C42" s="1479"/>
      <c r="D42" s="1479"/>
      <c r="E42" s="1479"/>
      <c r="F42" s="282"/>
      <c r="G42" s="282"/>
      <c r="H42" s="282"/>
      <c r="I42" s="59"/>
      <c r="J42" s="299"/>
      <c r="K42" s="300"/>
    </row>
    <row r="43" spans="1:11" s="2" customFormat="1" ht="14.25" x14ac:dyDescent="0.3">
      <c r="A43" s="23" t="s">
        <v>360</v>
      </c>
      <c r="B43" s="25"/>
      <c r="C43" s="1458"/>
      <c r="D43" s="1458"/>
      <c r="E43" s="1458"/>
      <c r="F43" s="284"/>
      <c r="G43" s="284"/>
      <c r="H43" s="284"/>
      <c r="I43" s="303"/>
      <c r="J43" s="97"/>
      <c r="K43" s="139"/>
    </row>
    <row r="44" spans="1:11" s="2" customFormat="1" ht="409.5" x14ac:dyDescent="0.3">
      <c r="A44" s="23" t="s">
        <v>480</v>
      </c>
      <c r="B44" s="25"/>
      <c r="C44" s="283"/>
      <c r="D44" s="283"/>
      <c r="E44" s="283"/>
      <c r="F44" s="284"/>
      <c r="G44" s="284"/>
      <c r="H44" s="284"/>
      <c r="I44" s="303" t="s">
        <v>481</v>
      </c>
      <c r="J44" s="25" t="s">
        <v>482</v>
      </c>
      <c r="K44" s="139"/>
    </row>
    <row r="45" spans="1:11" s="2" customFormat="1" ht="14.25" x14ac:dyDescent="0.3">
      <c r="A45" s="1468" t="s">
        <v>366</v>
      </c>
      <c r="B45" s="31" t="s">
        <v>367</v>
      </c>
      <c r="C45" s="284"/>
      <c r="D45" s="284"/>
      <c r="E45" s="284"/>
      <c r="F45" s="285"/>
      <c r="G45" s="285"/>
      <c r="H45" s="285"/>
      <c r="I45" s="304"/>
      <c r="J45" s="97"/>
      <c r="K45" s="139"/>
    </row>
    <row r="46" spans="1:11" s="2" customFormat="1" ht="14.25" x14ac:dyDescent="0.3">
      <c r="A46" s="1468"/>
      <c r="B46" s="31" t="s">
        <v>369</v>
      </c>
      <c r="C46" s="283"/>
      <c r="D46" s="283"/>
      <c r="E46" s="283"/>
      <c r="F46" s="285"/>
      <c r="G46" s="285"/>
      <c r="H46" s="285"/>
      <c r="I46" s="304"/>
      <c r="J46" s="97"/>
      <c r="K46" s="139"/>
    </row>
    <row r="47" spans="1:11" s="2" customFormat="1" ht="14.25" x14ac:dyDescent="0.3">
      <c r="A47" s="1468"/>
      <c r="B47" s="31" t="s">
        <v>371</v>
      </c>
      <c r="C47" s="283"/>
      <c r="D47" s="283"/>
      <c r="E47" s="283"/>
      <c r="F47" s="285"/>
      <c r="G47" s="285"/>
      <c r="H47" s="285"/>
      <c r="I47" s="304"/>
      <c r="J47" s="97"/>
      <c r="K47" s="139"/>
    </row>
    <row r="48" spans="1:11" s="2" customFormat="1" ht="14.25" x14ac:dyDescent="0.3">
      <c r="A48" s="23" t="s">
        <v>373</v>
      </c>
      <c r="B48" s="31"/>
      <c r="C48" s="25"/>
      <c r="D48" s="25"/>
      <c r="E48" s="25"/>
      <c r="F48" s="286"/>
      <c r="G48" s="286"/>
      <c r="H48" s="286"/>
      <c r="I48" s="33"/>
      <c r="J48" s="97"/>
      <c r="K48" s="139"/>
    </row>
    <row r="49" spans="1:11" s="2" customFormat="1" ht="14.25" x14ac:dyDescent="0.3">
      <c r="A49" s="23"/>
      <c r="B49" s="31"/>
      <c r="C49" s="25"/>
      <c r="D49" s="25"/>
      <c r="E49" s="25"/>
      <c r="F49" s="286"/>
      <c r="G49" s="286"/>
      <c r="H49" s="286"/>
      <c r="I49" s="33"/>
      <c r="J49" s="97"/>
      <c r="K49" s="139"/>
    </row>
    <row r="50" spans="1:11" s="2" customFormat="1" ht="14.25" x14ac:dyDescent="0.3">
      <c r="A50" s="23"/>
      <c r="B50" s="31"/>
      <c r="C50" s="25"/>
      <c r="D50" s="25"/>
      <c r="E50" s="25"/>
      <c r="F50" s="286"/>
      <c r="G50" s="286"/>
      <c r="H50" s="286"/>
      <c r="I50" s="33"/>
      <c r="J50" s="97"/>
      <c r="K50" s="139"/>
    </row>
    <row r="51" spans="1:11" s="2" customFormat="1" ht="14.25" x14ac:dyDescent="0.3">
      <c r="A51" s="23"/>
      <c r="B51" s="31"/>
      <c r="C51" s="25"/>
      <c r="D51" s="25"/>
      <c r="E51" s="25"/>
      <c r="F51" s="286"/>
      <c r="G51" s="286"/>
      <c r="H51" s="286"/>
      <c r="I51" s="33"/>
      <c r="J51" s="97"/>
      <c r="K51" s="139"/>
    </row>
    <row r="52" spans="1:11" x14ac:dyDescent="0.15">
      <c r="A52" s="17" t="s">
        <v>376</v>
      </c>
      <c r="B52" s="18"/>
      <c r="C52" s="19"/>
      <c r="D52" s="20"/>
      <c r="E52" s="20"/>
      <c r="F52" s="19"/>
      <c r="G52" s="19"/>
      <c r="H52" s="19"/>
      <c r="I52" s="21"/>
      <c r="J52" s="111"/>
      <c r="K52" s="140"/>
    </row>
    <row r="53" spans="1:11" x14ac:dyDescent="0.15">
      <c r="A53" s="1462" t="s">
        <v>15</v>
      </c>
      <c r="B53" s="1463"/>
      <c r="C53" s="288" t="s">
        <v>22</v>
      </c>
      <c r="D53" s="289" t="s">
        <v>37</v>
      </c>
      <c r="E53" s="289" t="s">
        <v>377</v>
      </c>
      <c r="F53" s="288" t="s">
        <v>22</v>
      </c>
      <c r="G53" s="289" t="s">
        <v>37</v>
      </c>
      <c r="H53" s="289" t="s">
        <v>377</v>
      </c>
      <c r="I53" s="305"/>
      <c r="J53" s="287"/>
      <c r="K53" s="306"/>
    </row>
    <row r="54" spans="1:11" ht="14.25" x14ac:dyDescent="0.15">
      <c r="A54" s="40" t="s">
        <v>40</v>
      </c>
      <c r="B54" s="41" t="s">
        <v>379</v>
      </c>
      <c r="C54" s="48">
        <f>SUM(C55:C58)</f>
        <v>153889</v>
      </c>
      <c r="D54" s="43"/>
      <c r="E54" s="290"/>
      <c r="F54" s="48">
        <f>SUM(F55:F58)</f>
        <v>495154</v>
      </c>
      <c r="G54" s="32"/>
      <c r="H54" s="32"/>
      <c r="I54" s="26"/>
      <c r="J54" s="307"/>
      <c r="K54" s="144"/>
    </row>
    <row r="55" spans="1:11" ht="14.25" x14ac:dyDescent="0.15">
      <c r="A55" s="47">
        <v>1</v>
      </c>
      <c r="B55" s="7" t="s">
        <v>60</v>
      </c>
      <c r="C55" s="48">
        <v>115985</v>
      </c>
      <c r="D55" s="43"/>
      <c r="E55" s="290"/>
      <c r="F55" s="32">
        <v>383924</v>
      </c>
      <c r="G55" s="32"/>
      <c r="H55" s="32"/>
      <c r="I55" s="26"/>
      <c r="J55" s="217"/>
      <c r="K55" s="144"/>
    </row>
    <row r="56" spans="1:11" ht="14.25" x14ac:dyDescent="0.15">
      <c r="A56" s="47">
        <v>2</v>
      </c>
      <c r="B56" s="7" t="s">
        <v>65</v>
      </c>
      <c r="C56" s="48">
        <v>30324</v>
      </c>
      <c r="D56" s="43"/>
      <c r="E56" s="290"/>
      <c r="F56" s="32">
        <v>89000</v>
      </c>
      <c r="G56" s="32"/>
      <c r="H56" s="32"/>
      <c r="I56" s="26"/>
      <c r="J56" s="217"/>
      <c r="K56" s="144"/>
    </row>
    <row r="57" spans="1:11" ht="14.25" x14ac:dyDescent="0.15">
      <c r="A57" s="47">
        <v>3</v>
      </c>
      <c r="B57" s="7" t="s">
        <v>71</v>
      </c>
      <c r="C57" s="48">
        <v>7580</v>
      </c>
      <c r="D57" s="43"/>
      <c r="E57" s="290"/>
      <c r="F57" s="32">
        <v>22230</v>
      </c>
      <c r="G57" s="32"/>
      <c r="H57" s="32"/>
      <c r="I57" s="26"/>
      <c r="J57" s="217"/>
      <c r="K57" s="144"/>
    </row>
    <row r="58" spans="1:11" ht="14.25" x14ac:dyDescent="0.15">
      <c r="A58" s="47">
        <v>4</v>
      </c>
      <c r="B58" s="7" t="s">
        <v>383</v>
      </c>
      <c r="C58" s="48"/>
      <c r="D58" s="43"/>
      <c r="E58" s="290"/>
      <c r="F58" s="32"/>
      <c r="G58" s="32"/>
      <c r="H58" s="32"/>
      <c r="I58" s="26"/>
      <c r="J58" s="217"/>
      <c r="K58" s="144"/>
    </row>
    <row r="59" spans="1:11" ht="14.25" x14ac:dyDescent="0.15">
      <c r="A59" s="40" t="s">
        <v>45</v>
      </c>
      <c r="B59" s="52" t="s">
        <v>130</v>
      </c>
      <c r="C59" s="53">
        <v>60517</v>
      </c>
      <c r="D59" s="53"/>
      <c r="E59" s="291"/>
      <c r="F59" s="32">
        <v>177622</v>
      </c>
      <c r="G59" s="32"/>
      <c r="H59" s="32"/>
      <c r="I59" s="26"/>
      <c r="J59" s="217"/>
      <c r="K59" s="144"/>
    </row>
    <row r="60" spans="1:11" ht="14.25" x14ac:dyDescent="0.15">
      <c r="A60" s="40"/>
      <c r="B60" s="52" t="s">
        <v>131</v>
      </c>
      <c r="C60" s="53"/>
      <c r="D60" s="48"/>
      <c r="E60" s="292"/>
      <c r="F60" s="32"/>
      <c r="G60" s="32"/>
      <c r="H60" s="32"/>
      <c r="I60" s="26"/>
      <c r="J60" s="217"/>
      <c r="K60" s="144"/>
    </row>
    <row r="61" spans="1:11" ht="40.5" x14ac:dyDescent="0.15">
      <c r="A61" s="40"/>
      <c r="B61" s="52" t="s">
        <v>385</v>
      </c>
      <c r="C61" s="53"/>
      <c r="D61" s="48"/>
      <c r="E61" s="292"/>
      <c r="F61" s="32"/>
      <c r="G61" s="32"/>
      <c r="H61" s="32"/>
      <c r="I61" s="26"/>
      <c r="J61" s="217"/>
      <c r="K61" s="144"/>
    </row>
    <row r="62" spans="1:11" ht="14.25" x14ac:dyDescent="0.15">
      <c r="A62" s="54" t="s">
        <v>83</v>
      </c>
      <c r="B62" s="52" t="s">
        <v>386</v>
      </c>
      <c r="C62" s="53">
        <v>42262</v>
      </c>
      <c r="D62" s="53"/>
      <c r="E62" s="291"/>
      <c r="F62" s="284">
        <v>124019</v>
      </c>
      <c r="G62" s="284"/>
      <c r="H62" s="284"/>
      <c r="I62" s="303"/>
      <c r="J62" s="217"/>
      <c r="K62" s="144"/>
    </row>
    <row r="63" spans="1:11" ht="14.25" outlineLevel="1" x14ac:dyDescent="0.15">
      <c r="A63" s="54">
        <v>1</v>
      </c>
      <c r="B63" s="55" t="s">
        <v>133</v>
      </c>
      <c r="C63" s="56"/>
      <c r="D63" s="57"/>
      <c r="E63" s="293"/>
      <c r="F63" s="32"/>
      <c r="G63" s="32"/>
      <c r="H63" s="32"/>
      <c r="I63" s="26"/>
      <c r="J63" s="217"/>
      <c r="K63" s="144"/>
    </row>
    <row r="64" spans="1:11" ht="40.5" outlineLevel="1" x14ac:dyDescent="0.15">
      <c r="A64" s="54">
        <v>2</v>
      </c>
      <c r="B64" s="55" t="s">
        <v>385</v>
      </c>
      <c r="C64" s="56"/>
      <c r="D64" s="57"/>
      <c r="E64" s="293"/>
      <c r="F64" s="32"/>
      <c r="G64" s="32"/>
      <c r="H64" s="32"/>
      <c r="I64" s="26"/>
      <c r="J64" s="217"/>
      <c r="K64" s="144"/>
    </row>
    <row r="65" spans="1:11" ht="14.25" outlineLevel="1" x14ac:dyDescent="0.15">
      <c r="A65" s="54">
        <v>3</v>
      </c>
      <c r="B65" s="55" t="s">
        <v>390</v>
      </c>
      <c r="C65" s="56"/>
      <c r="D65" s="57"/>
      <c r="E65" s="293"/>
      <c r="F65" s="32"/>
      <c r="G65" s="32"/>
      <c r="H65" s="32"/>
      <c r="I65" s="26"/>
      <c r="J65" s="217"/>
      <c r="K65" s="144"/>
    </row>
    <row r="66" spans="1:11" ht="14.25" x14ac:dyDescent="0.15">
      <c r="A66" s="47" t="s">
        <v>105</v>
      </c>
      <c r="B66" s="52" t="s">
        <v>137</v>
      </c>
      <c r="C66" s="53">
        <f>C67+C68+C71</f>
        <v>21593</v>
      </c>
      <c r="D66" s="209"/>
      <c r="E66" s="308"/>
      <c r="F66" s="53">
        <f>F67+F68+F71</f>
        <v>71910</v>
      </c>
      <c r="G66" s="32"/>
      <c r="H66" s="32"/>
      <c r="I66" s="26"/>
      <c r="J66" s="217"/>
      <c r="K66" s="144"/>
    </row>
    <row r="67" spans="1:11" ht="14.25" x14ac:dyDescent="0.15">
      <c r="A67" s="47">
        <v>1</v>
      </c>
      <c r="B67" s="41" t="s">
        <v>89</v>
      </c>
      <c r="C67" s="42">
        <v>3539</v>
      </c>
      <c r="D67" s="48"/>
      <c r="E67" s="309"/>
      <c r="F67" s="284">
        <v>11389</v>
      </c>
      <c r="G67" s="284"/>
      <c r="H67" s="284"/>
      <c r="I67" s="303"/>
      <c r="J67" s="217"/>
      <c r="K67" s="144"/>
    </row>
    <row r="68" spans="1:11" ht="27" x14ac:dyDescent="0.15">
      <c r="A68" s="47">
        <v>2</v>
      </c>
      <c r="B68" s="41" t="s">
        <v>93</v>
      </c>
      <c r="C68" s="42">
        <f>SUM(C69:C70)</f>
        <v>9540.67</v>
      </c>
      <c r="D68" s="48"/>
      <c r="E68" s="309"/>
      <c r="F68" s="42">
        <f>SUM(F69:F70)</f>
        <v>30699.62</v>
      </c>
      <c r="G68" s="284"/>
      <c r="H68" s="284"/>
      <c r="I68" s="303"/>
      <c r="J68" s="217"/>
      <c r="K68" s="144"/>
    </row>
    <row r="69" spans="1:11" ht="27" outlineLevel="1" x14ac:dyDescent="0.15">
      <c r="A69" s="47">
        <v>2.1</v>
      </c>
      <c r="B69" s="7" t="s">
        <v>138</v>
      </c>
      <c r="C69" s="48">
        <v>4924</v>
      </c>
      <c r="D69" s="48"/>
      <c r="E69" s="290"/>
      <c r="F69" s="32">
        <v>15845</v>
      </c>
      <c r="G69" s="32"/>
      <c r="H69" s="32"/>
      <c r="I69" s="26"/>
      <c r="J69" s="217"/>
      <c r="K69" s="144"/>
    </row>
    <row r="70" spans="1:11" ht="14.25" outlineLevel="1" x14ac:dyDescent="0.15">
      <c r="A70" s="47">
        <v>2.2000000000000002</v>
      </c>
      <c r="B70" s="7" t="s">
        <v>139</v>
      </c>
      <c r="C70" s="48">
        <f>C54*0.03</f>
        <v>4616.67</v>
      </c>
      <c r="D70" s="48"/>
      <c r="E70" s="290"/>
      <c r="F70" s="48">
        <f>F54*0.03</f>
        <v>14854.62</v>
      </c>
      <c r="G70" s="32"/>
      <c r="H70" s="32"/>
      <c r="I70" s="26"/>
      <c r="J70" s="217"/>
      <c r="K70" s="144"/>
    </row>
    <row r="71" spans="1:11" ht="27" x14ac:dyDescent="0.15">
      <c r="A71" s="47">
        <v>3</v>
      </c>
      <c r="B71" s="41" t="s">
        <v>98</v>
      </c>
      <c r="C71" s="42">
        <f>SUM(C72:C74)</f>
        <v>8513.33</v>
      </c>
      <c r="D71" s="48"/>
      <c r="E71" s="309"/>
      <c r="F71" s="42">
        <f>SUM(F72:F74)</f>
        <v>29821.38</v>
      </c>
      <c r="G71" s="284"/>
      <c r="H71" s="284"/>
      <c r="I71" s="303"/>
      <c r="J71" s="217"/>
      <c r="K71" s="144"/>
    </row>
    <row r="72" spans="1:11" ht="14.25" outlineLevel="1" x14ac:dyDescent="0.15">
      <c r="A72" s="47">
        <v>3.1</v>
      </c>
      <c r="B72" s="7" t="s">
        <v>140</v>
      </c>
      <c r="C72" s="48">
        <v>6974</v>
      </c>
      <c r="D72" s="48"/>
      <c r="E72" s="290"/>
      <c r="F72" s="32">
        <v>24870</v>
      </c>
      <c r="G72" s="32"/>
      <c r="H72" s="32"/>
      <c r="I72" s="26"/>
      <c r="J72" s="217"/>
      <c r="K72" s="144"/>
    </row>
    <row r="73" spans="1:11" ht="14.25" outlineLevel="1" x14ac:dyDescent="0.15">
      <c r="A73" s="47">
        <v>3.2</v>
      </c>
      <c r="B73" s="7" t="s">
        <v>141</v>
      </c>
      <c r="C73" s="48"/>
      <c r="D73" s="48"/>
      <c r="E73" s="290"/>
      <c r="F73" s="32"/>
      <c r="G73" s="32"/>
      <c r="H73" s="32"/>
      <c r="I73" s="26"/>
      <c r="J73" s="217"/>
      <c r="K73" s="144"/>
    </row>
    <row r="74" spans="1:11" ht="14.25" outlineLevel="1" x14ac:dyDescent="0.15">
      <c r="A74" s="47">
        <v>3.4</v>
      </c>
      <c r="B74" s="7" t="s">
        <v>142</v>
      </c>
      <c r="C74" s="48">
        <f>6156-C70</f>
        <v>1539.33</v>
      </c>
      <c r="D74" s="48"/>
      <c r="E74" s="290"/>
      <c r="F74" s="32">
        <f>19806-F70</f>
        <v>4951.38</v>
      </c>
      <c r="G74" s="32"/>
      <c r="H74" s="32"/>
      <c r="I74" s="26"/>
      <c r="J74" s="217"/>
      <c r="K74" s="144"/>
    </row>
    <row r="75" spans="1:11" ht="14.25" x14ac:dyDescent="0.15">
      <c r="A75" s="47" t="s">
        <v>112</v>
      </c>
      <c r="B75" s="154" t="s">
        <v>398</v>
      </c>
      <c r="C75" s="53">
        <f>SUM(C76:C78)</f>
        <v>14180</v>
      </c>
      <c r="D75" s="209"/>
      <c r="E75" s="308"/>
      <c r="F75" s="53">
        <f>SUM(F76:F78)</f>
        <v>53604</v>
      </c>
      <c r="G75" s="32"/>
      <c r="H75" s="32"/>
      <c r="I75" s="26"/>
      <c r="J75" s="217"/>
      <c r="K75" s="144"/>
    </row>
    <row r="76" spans="1:11" outlineLevel="1" x14ac:dyDescent="0.15">
      <c r="A76" s="47">
        <v>5.0999999999999996</v>
      </c>
      <c r="B76" s="7" t="s">
        <v>143</v>
      </c>
      <c r="C76" s="48">
        <v>4519</v>
      </c>
      <c r="D76" s="48"/>
      <c r="E76" s="290"/>
      <c r="F76" s="8">
        <v>17286</v>
      </c>
      <c r="I76" s="51"/>
      <c r="J76" s="217"/>
      <c r="K76" s="144"/>
    </row>
    <row r="77" spans="1:11" outlineLevel="1" x14ac:dyDescent="0.15">
      <c r="A77" s="47">
        <v>5.2</v>
      </c>
      <c r="B77" s="7" t="s">
        <v>144</v>
      </c>
      <c r="C77" s="48">
        <v>4548</v>
      </c>
      <c r="D77" s="48"/>
      <c r="E77" s="290"/>
      <c r="F77" s="8">
        <v>13651</v>
      </c>
      <c r="I77" s="51"/>
      <c r="J77" s="217"/>
      <c r="K77" s="144"/>
    </row>
    <row r="78" spans="1:11" outlineLevel="1" x14ac:dyDescent="0.15">
      <c r="A78" s="47">
        <v>5.3</v>
      </c>
      <c r="B78" s="7" t="s">
        <v>145</v>
      </c>
      <c r="C78" s="48">
        <v>5113</v>
      </c>
      <c r="D78" s="48"/>
      <c r="E78" s="290"/>
      <c r="F78" s="8">
        <v>22667</v>
      </c>
      <c r="I78" s="51"/>
      <c r="J78" s="217"/>
      <c r="K78" s="144"/>
    </row>
    <row r="79" spans="1:11" ht="27" x14ac:dyDescent="0.15">
      <c r="A79" s="64" t="s">
        <v>115</v>
      </c>
      <c r="B79" s="154" t="s">
        <v>146</v>
      </c>
      <c r="C79" s="53">
        <f>C54-C59-C62-C66-C75+1</f>
        <v>15338</v>
      </c>
      <c r="D79" s="209"/>
      <c r="E79" s="308"/>
      <c r="F79" s="53">
        <f>F54-F59-F62-F66-F75+1</f>
        <v>68000</v>
      </c>
      <c r="G79" s="52"/>
      <c r="H79" s="52"/>
      <c r="I79" s="155"/>
      <c r="J79" s="217"/>
      <c r="K79" s="144"/>
    </row>
    <row r="80" spans="1:11" x14ac:dyDescent="0.15">
      <c r="A80" s="47" t="s">
        <v>117</v>
      </c>
      <c r="B80" s="8" t="s">
        <v>148</v>
      </c>
      <c r="C80" s="48">
        <f>C79</f>
        <v>15338</v>
      </c>
      <c r="D80" s="48"/>
      <c r="E80" s="290"/>
      <c r="F80" s="48">
        <f>F79</f>
        <v>68000</v>
      </c>
      <c r="G80" s="310"/>
      <c r="H80" s="310"/>
      <c r="I80" s="317"/>
      <c r="J80" s="217"/>
      <c r="K80" s="144"/>
    </row>
    <row r="81" spans="1:11" outlineLevel="2" x14ac:dyDescent="0.15">
      <c r="A81" s="47">
        <v>7.1</v>
      </c>
      <c r="B81" s="8" t="s">
        <v>400</v>
      </c>
      <c r="C81" s="48">
        <v>0</v>
      </c>
      <c r="D81" s="48"/>
      <c r="E81" s="49"/>
      <c r="F81" s="48">
        <v>0</v>
      </c>
      <c r="I81" s="51"/>
      <c r="J81" s="217"/>
      <c r="K81" s="144"/>
    </row>
    <row r="82" spans="1:11" ht="27" outlineLevel="2" x14ac:dyDescent="0.15">
      <c r="A82" s="47">
        <v>7.2</v>
      </c>
      <c r="B82" s="6" t="s">
        <v>483</v>
      </c>
      <c r="C82" s="48">
        <f>C80*0.3</f>
        <v>4601.3999999999996</v>
      </c>
      <c r="D82" s="48"/>
      <c r="E82" s="49"/>
      <c r="F82" s="48">
        <f>F80*0.3</f>
        <v>20400</v>
      </c>
      <c r="I82" s="51"/>
      <c r="J82" s="217"/>
      <c r="K82" s="144"/>
    </row>
    <row r="83" spans="1:11" ht="27" outlineLevel="2" x14ac:dyDescent="0.15">
      <c r="A83" s="47">
        <v>7.3</v>
      </c>
      <c r="B83" s="6" t="s">
        <v>402</v>
      </c>
      <c r="C83" s="48">
        <f>C80*0.7</f>
        <v>10736.6</v>
      </c>
      <c r="D83" s="48"/>
      <c r="E83" s="49"/>
      <c r="F83" s="48">
        <f>F80*0.7</f>
        <v>47600</v>
      </c>
      <c r="I83" s="51"/>
      <c r="J83" s="217"/>
      <c r="K83" s="144"/>
    </row>
    <row r="84" spans="1:11" x14ac:dyDescent="0.15">
      <c r="A84" s="311" t="s">
        <v>151</v>
      </c>
      <c r="B84" s="312"/>
      <c r="C84" s="313"/>
      <c r="D84" s="314"/>
      <c r="E84" s="315"/>
      <c r="F84" s="315"/>
      <c r="G84" s="315"/>
      <c r="H84" s="315"/>
      <c r="I84" s="318"/>
      <c r="J84" s="319"/>
      <c r="K84" s="320"/>
    </row>
    <row r="85" spans="1:11" x14ac:dyDescent="0.15">
      <c r="A85" s="1469" t="s">
        <v>153</v>
      </c>
      <c r="B85" s="7" t="s">
        <v>152</v>
      </c>
      <c r="C85" s="48"/>
      <c r="D85" s="43">
        <f t="shared" ref="D85:D98" si="0">C85/C$28*10000</f>
        <v>0</v>
      </c>
      <c r="E85" s="163"/>
      <c r="I85" s="51"/>
      <c r="J85" s="217"/>
      <c r="K85" s="144"/>
    </row>
    <row r="86" spans="1:11" x14ac:dyDescent="0.15">
      <c r="A86" s="1469"/>
      <c r="B86" s="7" t="s">
        <v>154</v>
      </c>
      <c r="C86" s="48"/>
      <c r="D86" s="43">
        <f t="shared" si="0"/>
        <v>0</v>
      </c>
      <c r="E86" s="163"/>
      <c r="I86" s="51"/>
      <c r="J86" s="217"/>
      <c r="K86" s="144"/>
    </row>
    <row r="87" spans="1:11" x14ac:dyDescent="0.15">
      <c r="A87" s="1469"/>
      <c r="B87" s="7" t="s">
        <v>155</v>
      </c>
      <c r="C87" s="48"/>
      <c r="D87" s="43">
        <f t="shared" si="0"/>
        <v>0</v>
      </c>
      <c r="E87" s="163"/>
      <c r="I87" s="51"/>
      <c r="J87" s="217"/>
      <c r="K87" s="144"/>
    </row>
    <row r="88" spans="1:11" x14ac:dyDescent="0.15">
      <c r="A88" s="1469"/>
      <c r="B88" s="7" t="s">
        <v>156</v>
      </c>
      <c r="C88" s="48"/>
      <c r="D88" s="43">
        <f t="shared" si="0"/>
        <v>0</v>
      </c>
      <c r="E88" s="163"/>
      <c r="I88" s="51"/>
      <c r="J88" s="217"/>
      <c r="K88" s="144"/>
    </row>
    <row r="89" spans="1:11" x14ac:dyDescent="0.15">
      <c r="A89" s="1469" t="s">
        <v>157</v>
      </c>
      <c r="B89" s="7" t="s">
        <v>403</v>
      </c>
      <c r="C89" s="48"/>
      <c r="D89" s="43">
        <f t="shared" si="0"/>
        <v>0</v>
      </c>
      <c r="E89" s="163"/>
      <c r="I89" s="51"/>
      <c r="J89" s="217"/>
      <c r="K89" s="144"/>
    </row>
    <row r="90" spans="1:11" x14ac:dyDescent="0.15">
      <c r="A90" s="1469"/>
      <c r="B90" s="7" t="s">
        <v>161</v>
      </c>
      <c r="C90" s="48"/>
      <c r="D90" s="43">
        <f t="shared" si="0"/>
        <v>0</v>
      </c>
      <c r="E90" s="163"/>
      <c r="I90" s="51"/>
      <c r="J90" s="217"/>
      <c r="K90" s="144"/>
    </row>
    <row r="91" spans="1:11" x14ac:dyDescent="0.15">
      <c r="A91" s="1469"/>
      <c r="B91" s="7" t="s">
        <v>404</v>
      </c>
      <c r="C91" s="48"/>
      <c r="D91" s="43">
        <f t="shared" si="0"/>
        <v>0</v>
      </c>
      <c r="E91" s="163"/>
      <c r="I91" s="51"/>
      <c r="J91" s="217"/>
      <c r="K91" s="144"/>
    </row>
    <row r="92" spans="1:11" x14ac:dyDescent="0.15">
      <c r="A92" s="1469"/>
      <c r="B92" s="7" t="s">
        <v>163</v>
      </c>
      <c r="C92" s="48"/>
      <c r="D92" s="43">
        <f t="shared" si="0"/>
        <v>0</v>
      </c>
      <c r="E92" s="163"/>
      <c r="I92" s="51"/>
      <c r="J92" s="217"/>
      <c r="K92" s="144"/>
    </row>
    <row r="93" spans="1:11" x14ac:dyDescent="0.15">
      <c r="A93" s="1469"/>
      <c r="B93" s="7" t="s">
        <v>164</v>
      </c>
      <c r="C93" s="48"/>
      <c r="D93" s="43">
        <f t="shared" si="0"/>
        <v>0</v>
      </c>
      <c r="E93" s="163"/>
      <c r="I93" s="51"/>
      <c r="J93" s="217"/>
      <c r="K93" s="144"/>
    </row>
    <row r="94" spans="1:11" x14ac:dyDescent="0.15">
      <c r="A94" s="1469"/>
      <c r="B94" s="7" t="s">
        <v>165</v>
      </c>
      <c r="C94" s="48"/>
      <c r="D94" s="43">
        <f t="shared" si="0"/>
        <v>0</v>
      </c>
      <c r="E94" s="49"/>
      <c r="I94" s="51"/>
      <c r="J94" s="217"/>
      <c r="K94" s="144"/>
    </row>
    <row r="95" spans="1:11" ht="27" x14ac:dyDescent="0.15">
      <c r="A95" s="1469"/>
      <c r="B95" s="7" t="s">
        <v>166</v>
      </c>
      <c r="C95" s="48"/>
      <c r="D95" s="43">
        <f t="shared" si="0"/>
        <v>0</v>
      </c>
      <c r="E95" s="49"/>
      <c r="I95" s="51"/>
      <c r="J95" s="217"/>
      <c r="K95" s="144"/>
    </row>
    <row r="96" spans="1:11" ht="27" x14ac:dyDescent="0.15">
      <c r="A96" s="1469"/>
      <c r="B96" s="7" t="s">
        <v>167</v>
      </c>
      <c r="C96" s="48"/>
      <c r="D96" s="43">
        <f t="shared" si="0"/>
        <v>0</v>
      </c>
      <c r="E96" s="49"/>
      <c r="I96" s="51"/>
      <c r="J96" s="217"/>
      <c r="K96" s="144"/>
    </row>
    <row r="97" spans="1:11" x14ac:dyDescent="0.15">
      <c r="A97" s="1469" t="s">
        <v>405</v>
      </c>
      <c r="B97" s="7" t="s">
        <v>406</v>
      </c>
      <c r="C97" s="48"/>
      <c r="D97" s="43">
        <f t="shared" si="0"/>
        <v>0</v>
      </c>
      <c r="E97" s="49"/>
      <c r="I97" s="51"/>
      <c r="J97" s="217"/>
      <c r="K97" s="144"/>
    </row>
    <row r="98" spans="1:11" x14ac:dyDescent="0.15">
      <c r="A98" s="1469"/>
      <c r="B98" s="7" t="s">
        <v>407</v>
      </c>
      <c r="C98" s="48"/>
      <c r="D98" s="43">
        <f t="shared" si="0"/>
        <v>0</v>
      </c>
      <c r="E98" s="49"/>
      <c r="I98" s="51"/>
      <c r="J98" s="217"/>
      <c r="K98" s="144"/>
    </row>
    <row r="99" spans="1:11" x14ac:dyDescent="0.15">
      <c r="A99" s="1469"/>
      <c r="B99" s="7" t="s">
        <v>408</v>
      </c>
      <c r="C99" s="48"/>
      <c r="D99" s="43"/>
      <c r="E99" s="49"/>
      <c r="I99" s="51"/>
      <c r="J99" s="217"/>
      <c r="K99" s="144"/>
    </row>
    <row r="100" spans="1:11" ht="27" x14ac:dyDescent="0.15">
      <c r="A100" s="1469"/>
      <c r="B100" s="7" t="s">
        <v>409</v>
      </c>
      <c r="C100" s="48"/>
      <c r="D100" s="43"/>
      <c r="E100" s="49"/>
      <c r="I100" s="51"/>
      <c r="J100" s="217"/>
      <c r="K100" s="144"/>
    </row>
    <row r="101" spans="1:11" x14ac:dyDescent="0.15">
      <c r="A101" s="1469"/>
      <c r="B101" s="7" t="s">
        <v>410</v>
      </c>
      <c r="C101" s="48"/>
      <c r="D101" s="43">
        <f t="shared" ref="D101:D105" si="1">C101/C$28*10000</f>
        <v>0</v>
      </c>
      <c r="E101" s="49"/>
      <c r="I101" s="51"/>
      <c r="J101" s="217"/>
      <c r="K101" s="144"/>
    </row>
    <row r="102" spans="1:11" x14ac:dyDescent="0.15">
      <c r="A102" s="1469"/>
      <c r="B102" s="7" t="s">
        <v>411</v>
      </c>
      <c r="C102" s="48"/>
      <c r="D102" s="43"/>
      <c r="E102" s="49"/>
      <c r="I102" s="51"/>
      <c r="J102" s="217"/>
      <c r="K102" s="144"/>
    </row>
    <row r="103" spans="1:11" ht="27" x14ac:dyDescent="0.15">
      <c r="A103" s="1469"/>
      <c r="B103" s="7" t="s">
        <v>412</v>
      </c>
      <c r="C103" s="48"/>
      <c r="D103" s="43"/>
      <c r="E103" s="49"/>
      <c r="I103" s="51"/>
      <c r="J103" s="217"/>
      <c r="K103" s="144"/>
    </row>
    <row r="104" spans="1:11" ht="27" x14ac:dyDescent="0.15">
      <c r="A104" s="1469"/>
      <c r="B104" s="7" t="s">
        <v>108</v>
      </c>
      <c r="C104" s="48"/>
      <c r="D104" s="43">
        <f t="shared" si="1"/>
        <v>0</v>
      </c>
      <c r="E104" s="49"/>
      <c r="I104" s="51"/>
      <c r="J104" s="217"/>
      <c r="K104" s="144"/>
    </row>
    <row r="105" spans="1:11" x14ac:dyDescent="0.15">
      <c r="A105" s="1469"/>
      <c r="B105" s="7" t="s">
        <v>413</v>
      </c>
      <c r="C105" s="48"/>
      <c r="D105" s="43">
        <f t="shared" si="1"/>
        <v>0</v>
      </c>
      <c r="E105" s="49"/>
      <c r="I105" s="51"/>
      <c r="J105" s="217"/>
      <c r="K105" s="144"/>
    </row>
    <row r="106" spans="1:11" x14ac:dyDescent="0.15">
      <c r="A106" s="1469"/>
      <c r="B106" s="7" t="s">
        <v>173</v>
      </c>
      <c r="C106" s="48"/>
      <c r="D106" s="43"/>
      <c r="E106" s="49"/>
      <c r="I106" s="51"/>
      <c r="J106" s="217"/>
      <c r="K106" s="144"/>
    </row>
    <row r="107" spans="1:11" ht="27" x14ac:dyDescent="0.15">
      <c r="A107" s="1469"/>
      <c r="B107" s="7" t="s">
        <v>174</v>
      </c>
      <c r="C107" s="48"/>
      <c r="D107" s="43"/>
      <c r="E107" s="49"/>
      <c r="I107" s="51"/>
      <c r="J107" s="217"/>
      <c r="K107" s="144"/>
    </row>
    <row r="108" spans="1:11" x14ac:dyDescent="0.15">
      <c r="A108" s="1469"/>
      <c r="B108" s="7" t="s">
        <v>414</v>
      </c>
      <c r="C108" s="48"/>
      <c r="D108" s="43">
        <f t="shared" ref="D108:D114" si="2">C108/C$28*10000</f>
        <v>0</v>
      </c>
      <c r="E108" s="49"/>
      <c r="I108" s="51"/>
      <c r="J108" s="217"/>
      <c r="K108" s="144"/>
    </row>
    <row r="109" spans="1:11" x14ac:dyDescent="0.15">
      <c r="A109" s="1469"/>
      <c r="B109" s="7" t="s">
        <v>411</v>
      </c>
      <c r="C109" s="48"/>
      <c r="D109" s="43"/>
      <c r="E109" s="49"/>
      <c r="I109" s="51"/>
      <c r="J109" s="217"/>
      <c r="K109" s="144"/>
    </row>
    <row r="110" spans="1:11" ht="27" x14ac:dyDescent="0.15">
      <c r="A110" s="1469"/>
      <c r="B110" s="7" t="s">
        <v>412</v>
      </c>
      <c r="C110" s="48"/>
      <c r="D110" s="43"/>
      <c r="E110" s="49"/>
      <c r="I110" s="51"/>
      <c r="J110" s="217"/>
      <c r="K110" s="144"/>
    </row>
    <row r="111" spans="1:11" x14ac:dyDescent="0.15">
      <c r="A111" s="1469"/>
      <c r="B111" s="7" t="s">
        <v>109</v>
      </c>
      <c r="D111" s="43">
        <f t="shared" si="2"/>
        <v>0</v>
      </c>
      <c r="I111" s="51"/>
      <c r="J111" s="217"/>
      <c r="K111" s="144"/>
    </row>
    <row r="112" spans="1:11" x14ac:dyDescent="0.15">
      <c r="A112" s="1469"/>
      <c r="B112" s="7" t="s">
        <v>110</v>
      </c>
      <c r="D112" s="43">
        <f t="shared" si="2"/>
        <v>0</v>
      </c>
      <c r="I112" s="51"/>
      <c r="J112" s="217"/>
      <c r="K112" s="144"/>
    </row>
    <row r="113" spans="1:11" x14ac:dyDescent="0.15">
      <c r="A113" s="1469"/>
      <c r="B113" s="7" t="s">
        <v>111</v>
      </c>
      <c r="D113" s="43">
        <f t="shared" si="2"/>
        <v>0</v>
      </c>
      <c r="I113" s="51"/>
      <c r="J113" s="217"/>
      <c r="K113" s="144"/>
    </row>
    <row r="114" spans="1:11" x14ac:dyDescent="0.15">
      <c r="A114" s="47" t="s">
        <v>176</v>
      </c>
      <c r="B114" s="7" t="s">
        <v>177</v>
      </c>
      <c r="C114" s="48"/>
      <c r="D114" s="43">
        <f t="shared" si="2"/>
        <v>0</v>
      </c>
      <c r="E114" s="49"/>
      <c r="I114" s="51"/>
      <c r="J114" s="217"/>
      <c r="K114" s="144"/>
    </row>
    <row r="115" spans="1:11" x14ac:dyDescent="0.15">
      <c r="A115" s="17" t="s">
        <v>415</v>
      </c>
      <c r="B115" s="19"/>
      <c r="C115" s="19"/>
      <c r="D115" s="20"/>
      <c r="E115" s="20"/>
      <c r="F115" s="19"/>
      <c r="G115" s="19"/>
      <c r="H115" s="19"/>
      <c r="I115" s="21"/>
      <c r="J115" s="198"/>
      <c r="K115" s="140"/>
    </row>
    <row r="116" spans="1:11" x14ac:dyDescent="0.15">
      <c r="A116" s="1464" t="s">
        <v>416</v>
      </c>
      <c r="B116" s="1465"/>
      <c r="C116" s="288"/>
      <c r="D116" s="289"/>
      <c r="E116" s="289"/>
      <c r="F116" s="288"/>
      <c r="G116" s="288"/>
      <c r="H116" s="288"/>
      <c r="I116" s="305"/>
      <c r="J116" s="321"/>
      <c r="K116" s="306"/>
    </row>
    <row r="117" spans="1:11" outlineLevel="2" x14ac:dyDescent="0.15">
      <c r="A117" s="51">
        <v>1</v>
      </c>
      <c r="B117" s="8" t="s">
        <v>139</v>
      </c>
      <c r="C117" s="48">
        <f>C70</f>
        <v>4616.67</v>
      </c>
      <c r="D117" s="43">
        <f t="shared" ref="D117:D121" si="3">C117/C$28*10000</f>
        <v>451.12422681923402</v>
      </c>
      <c r="E117" s="49"/>
      <c r="F117" s="48">
        <f>F70</f>
        <v>14854.62</v>
      </c>
      <c r="G117" s="43">
        <f t="shared" ref="G117:G121" si="4">F117/F$28*10000</f>
        <v>494.65110471021097</v>
      </c>
      <c r="I117" s="51"/>
      <c r="J117" s="217"/>
      <c r="K117" s="144"/>
    </row>
    <row r="118" spans="1:11" outlineLevel="2" x14ac:dyDescent="0.15">
      <c r="A118" s="51">
        <v>2</v>
      </c>
      <c r="B118" s="8" t="s">
        <v>256</v>
      </c>
      <c r="C118" s="48">
        <f>C74</f>
        <v>1539.33</v>
      </c>
      <c r="D118" s="43">
        <f t="shared" si="3"/>
        <v>150.41773747520401</v>
      </c>
      <c r="E118" s="49"/>
      <c r="F118" s="48">
        <f>F74</f>
        <v>4951.38</v>
      </c>
      <c r="G118" s="43">
        <f t="shared" si="4"/>
        <v>164.878373653452</v>
      </c>
      <c r="I118" s="51"/>
      <c r="J118" s="217"/>
      <c r="K118" s="144"/>
    </row>
    <row r="119" spans="1:11" outlineLevel="2" x14ac:dyDescent="0.15">
      <c r="A119" s="51">
        <v>3</v>
      </c>
      <c r="B119" s="8" t="s">
        <v>417</v>
      </c>
      <c r="C119" s="48">
        <f>C65*20%</f>
        <v>0</v>
      </c>
      <c r="D119" s="43">
        <f t="shared" si="3"/>
        <v>0</v>
      </c>
      <c r="E119" s="49"/>
      <c r="F119" s="48">
        <f>F65*20%</f>
        <v>0</v>
      </c>
      <c r="G119" s="43">
        <f t="shared" si="4"/>
        <v>0</v>
      </c>
      <c r="I119" s="51"/>
      <c r="J119" s="217"/>
      <c r="K119" s="144"/>
    </row>
    <row r="120" spans="1:11" outlineLevel="2" x14ac:dyDescent="0.15">
      <c r="A120" s="51">
        <v>4</v>
      </c>
      <c r="B120" s="8" t="s">
        <v>484</v>
      </c>
      <c r="C120" s="48">
        <f>C82</f>
        <v>4601.3999999999996</v>
      </c>
      <c r="D120" s="43">
        <f t="shared" si="3"/>
        <v>449.63209787271501</v>
      </c>
      <c r="E120" s="49"/>
      <c r="F120" s="48">
        <f>F82</f>
        <v>20400</v>
      </c>
      <c r="G120" s="43">
        <f t="shared" si="4"/>
        <v>679.30936880837805</v>
      </c>
      <c r="I120" s="51"/>
      <c r="J120" s="217"/>
      <c r="K120" s="144"/>
    </row>
    <row r="121" spans="1:11" outlineLevel="1" x14ac:dyDescent="0.15">
      <c r="A121" s="51" t="s">
        <v>40</v>
      </c>
      <c r="B121" s="8" t="s">
        <v>257</v>
      </c>
      <c r="C121" s="48">
        <f>C117+C118+C119+C120</f>
        <v>10757.4</v>
      </c>
      <c r="D121" s="43">
        <f t="shared" si="3"/>
        <v>1051.1740621671499</v>
      </c>
      <c r="E121" s="49"/>
      <c r="F121" s="48">
        <f>F117+F118+F119+F120</f>
        <v>40206</v>
      </c>
      <c r="G121" s="43">
        <f t="shared" si="4"/>
        <v>1338.83884717204</v>
      </c>
      <c r="I121" s="51"/>
      <c r="J121" s="217"/>
      <c r="K121" s="144"/>
    </row>
    <row r="122" spans="1:11" outlineLevel="1" x14ac:dyDescent="0.15">
      <c r="A122" s="173"/>
      <c r="B122" t="str">
        <f t="shared" ref="B122:B125" si="5">B212</f>
        <v>销售代理费收入</v>
      </c>
      <c r="C122" s="48"/>
      <c r="D122" s="43"/>
      <c r="E122" s="49"/>
      <c r="F122" s="48"/>
      <c r="G122" s="43"/>
      <c r="I122" s="51"/>
      <c r="J122" s="217"/>
      <c r="K122" s="144"/>
    </row>
    <row r="123" spans="1:11" outlineLevel="1" x14ac:dyDescent="0.15">
      <c r="A123" s="173"/>
      <c r="B123" t="str">
        <f t="shared" si="5"/>
        <v>销售代理费人工成本</v>
      </c>
      <c r="C123" s="48"/>
      <c r="D123" s="43"/>
      <c r="E123" s="49"/>
      <c r="F123" s="48"/>
      <c r="G123" s="43"/>
      <c r="I123" s="51"/>
      <c r="J123" s="217"/>
      <c r="K123" s="144"/>
    </row>
    <row r="124" spans="1:11" outlineLevel="1" x14ac:dyDescent="0.15">
      <c r="A124" s="173"/>
      <c r="B124" t="str">
        <f t="shared" si="5"/>
        <v>销售代理利润</v>
      </c>
      <c r="C124" s="48"/>
      <c r="D124" s="43"/>
      <c r="E124" s="49"/>
      <c r="F124" s="48"/>
      <c r="G124" s="43"/>
      <c r="I124" s="51"/>
      <c r="J124" s="217"/>
      <c r="K124" s="144"/>
    </row>
    <row r="125" spans="1:11" outlineLevel="1" x14ac:dyDescent="0.15">
      <c r="A125" s="173"/>
      <c r="B125" t="str">
        <f t="shared" si="5"/>
        <v>收益二小计</v>
      </c>
      <c r="C125" s="48"/>
      <c r="D125" s="43"/>
      <c r="E125" s="49"/>
      <c r="F125" s="48"/>
      <c r="G125" s="43"/>
      <c r="I125" s="51"/>
      <c r="J125" s="217"/>
      <c r="K125" s="144"/>
    </row>
    <row r="126" spans="1:11" outlineLevel="2" x14ac:dyDescent="0.15">
      <c r="A126" s="51" t="s">
        <v>45</v>
      </c>
      <c r="B126" s="8" t="s">
        <v>258</v>
      </c>
      <c r="C126" s="48">
        <v>5000</v>
      </c>
      <c r="D126" s="43">
        <f t="shared" ref="D126:D128" si="6">C126/C$28*10000</f>
        <v>488.58184234441097</v>
      </c>
      <c r="E126" s="49"/>
      <c r="F126" s="48">
        <v>5000</v>
      </c>
      <c r="G126" s="43">
        <f t="shared" ref="G126:G128" si="7">F126/F$28*10000</f>
        <v>166.49739431577899</v>
      </c>
      <c r="I126" s="51"/>
      <c r="J126" s="217">
        <v>10000</v>
      </c>
      <c r="K126" s="144"/>
    </row>
    <row r="127" spans="1:11" outlineLevel="2" x14ac:dyDescent="0.15">
      <c r="A127" s="51" t="s">
        <v>83</v>
      </c>
      <c r="B127" s="8" t="s">
        <v>261</v>
      </c>
      <c r="C127" s="48"/>
      <c r="D127" s="43">
        <f t="shared" si="6"/>
        <v>0</v>
      </c>
      <c r="E127" s="49"/>
      <c r="F127" s="48"/>
      <c r="G127" s="43">
        <f t="shared" si="7"/>
        <v>0</v>
      </c>
      <c r="I127" s="51"/>
      <c r="J127" s="205"/>
      <c r="K127" s="144"/>
    </row>
    <row r="128" spans="1:11" outlineLevel="2" x14ac:dyDescent="0.15">
      <c r="A128" s="51" t="s">
        <v>105</v>
      </c>
      <c r="B128" s="8" t="s">
        <v>421</v>
      </c>
      <c r="C128" s="48"/>
      <c r="D128" s="43">
        <f t="shared" si="6"/>
        <v>0</v>
      </c>
      <c r="E128" s="49"/>
      <c r="F128" s="48"/>
      <c r="G128" s="43">
        <f t="shared" si="7"/>
        <v>0</v>
      </c>
      <c r="I128" s="51"/>
      <c r="J128" s="217"/>
      <c r="K128" s="144"/>
    </row>
    <row r="129" spans="1:11" outlineLevel="2" x14ac:dyDescent="0.15">
      <c r="A129" s="51" t="s">
        <v>112</v>
      </c>
      <c r="B129" s="8" t="s">
        <v>422</v>
      </c>
      <c r="C129" s="48"/>
      <c r="D129" s="43"/>
      <c r="E129" s="49"/>
      <c r="F129" s="48"/>
      <c r="G129" s="43"/>
      <c r="I129" s="51"/>
      <c r="J129" s="217">
        <v>0</v>
      </c>
      <c r="K129" s="144"/>
    </row>
    <row r="130" spans="1:11" outlineLevel="2" x14ac:dyDescent="0.15">
      <c r="A130" s="51" t="s">
        <v>115</v>
      </c>
      <c r="B130" s="8" t="s">
        <v>423</v>
      </c>
      <c r="C130" s="48"/>
      <c r="D130" s="43"/>
      <c r="E130" s="49"/>
      <c r="F130" s="48"/>
      <c r="G130" s="43"/>
      <c r="I130" s="51"/>
      <c r="J130" s="217">
        <f>J126-J129</f>
        <v>10000</v>
      </c>
      <c r="K130" s="144"/>
    </row>
    <row r="131" spans="1:11" x14ac:dyDescent="0.15">
      <c r="A131" s="1464" t="s">
        <v>485</v>
      </c>
      <c r="B131" s="1465"/>
      <c r="C131" s="288"/>
      <c r="D131" s="289"/>
      <c r="E131" s="289"/>
      <c r="F131" s="288"/>
      <c r="G131" s="289"/>
      <c r="H131" s="288"/>
      <c r="I131" s="305"/>
      <c r="J131" s="321"/>
      <c r="K131" s="306"/>
    </row>
    <row r="132" spans="1:11" outlineLevel="2" x14ac:dyDescent="0.15">
      <c r="A132" s="51">
        <v>1</v>
      </c>
      <c r="B132" s="8" t="s">
        <v>86</v>
      </c>
      <c r="C132" s="48">
        <f>C64</f>
        <v>0</v>
      </c>
      <c r="D132" s="43">
        <f t="shared" ref="D132:D137" si="8">C132/C$28*10000</f>
        <v>0</v>
      </c>
      <c r="E132" s="49"/>
      <c r="F132" s="48">
        <f>F64</f>
        <v>0</v>
      </c>
      <c r="G132" s="43">
        <f t="shared" ref="G132:G137" si="9">F132/F$28*10000</f>
        <v>0</v>
      </c>
      <c r="I132" s="51"/>
      <c r="J132" s="217"/>
      <c r="K132" s="144"/>
    </row>
    <row r="133" spans="1:11" ht="40.5" outlineLevel="2" x14ac:dyDescent="0.15">
      <c r="A133" s="51">
        <v>2</v>
      </c>
      <c r="B133" s="8" t="s">
        <v>385</v>
      </c>
      <c r="C133" s="48">
        <f>C65*80%</f>
        <v>0</v>
      </c>
      <c r="D133" s="43">
        <f t="shared" si="8"/>
        <v>0</v>
      </c>
      <c r="E133" s="49"/>
      <c r="F133" s="48">
        <f>F65*80%</f>
        <v>0</v>
      </c>
      <c r="G133" s="43">
        <f t="shared" si="9"/>
        <v>0</v>
      </c>
      <c r="I133" s="51"/>
      <c r="J133" s="217"/>
      <c r="K133" s="144"/>
    </row>
    <row r="134" spans="1:11" outlineLevel="2" x14ac:dyDescent="0.15">
      <c r="A134" s="51">
        <v>3</v>
      </c>
      <c r="B134" s="8" t="s">
        <v>486</v>
      </c>
      <c r="C134" s="48">
        <f>C83</f>
        <v>10736.6</v>
      </c>
      <c r="D134" s="43">
        <f t="shared" si="8"/>
        <v>1049.141561703</v>
      </c>
      <c r="E134" s="49"/>
      <c r="F134" s="48">
        <f>F83</f>
        <v>47600</v>
      </c>
      <c r="G134" s="43">
        <f t="shared" si="9"/>
        <v>1585.05519388622</v>
      </c>
      <c r="I134" s="51"/>
      <c r="J134" s="217"/>
      <c r="K134" s="144"/>
    </row>
    <row r="135" spans="1:11" outlineLevel="1" x14ac:dyDescent="0.15">
      <c r="A135" s="51" t="s">
        <v>40</v>
      </c>
      <c r="B135" s="8" t="s">
        <v>257</v>
      </c>
      <c r="C135" s="48">
        <f>C134+C133+C132</f>
        <v>10736.6</v>
      </c>
      <c r="D135" s="43">
        <f t="shared" si="8"/>
        <v>1049.141561703</v>
      </c>
      <c r="E135" s="49"/>
      <c r="F135" s="48">
        <f>F134+F133+F132</f>
        <v>47600</v>
      </c>
      <c r="G135" s="43">
        <f t="shared" si="9"/>
        <v>1585.05519388622</v>
      </c>
      <c r="I135" s="51"/>
      <c r="J135" s="217"/>
      <c r="K135" s="144"/>
    </row>
    <row r="136" spans="1:11" outlineLevel="2" x14ac:dyDescent="0.15">
      <c r="A136" s="51" t="s">
        <v>45</v>
      </c>
      <c r="B136" s="8" t="s">
        <v>258</v>
      </c>
      <c r="C136" s="48"/>
      <c r="D136" s="43">
        <f t="shared" si="8"/>
        <v>0</v>
      </c>
      <c r="E136" s="49"/>
      <c r="F136" s="48"/>
      <c r="G136" s="43">
        <f t="shared" si="9"/>
        <v>0</v>
      </c>
      <c r="I136" s="51"/>
      <c r="J136" s="217"/>
      <c r="K136" s="144"/>
    </row>
    <row r="137" spans="1:11" outlineLevel="2" x14ac:dyDescent="0.15">
      <c r="A137" s="51" t="s">
        <v>83</v>
      </c>
      <c r="B137" s="8" t="s">
        <v>261</v>
      </c>
      <c r="C137" s="48"/>
      <c r="D137" s="43">
        <f t="shared" si="8"/>
        <v>0</v>
      </c>
      <c r="E137" s="49"/>
      <c r="F137" s="48"/>
      <c r="G137" s="43">
        <f t="shared" si="9"/>
        <v>0</v>
      </c>
      <c r="I137" s="51"/>
      <c r="J137" s="217"/>
      <c r="K137" s="144"/>
    </row>
    <row r="138" spans="1:11" outlineLevel="2" x14ac:dyDescent="0.15">
      <c r="A138" s="51" t="s">
        <v>105</v>
      </c>
      <c r="B138" s="8" t="s">
        <v>421</v>
      </c>
      <c r="C138" s="48"/>
      <c r="D138" s="43"/>
      <c r="E138" s="49"/>
      <c r="I138" s="51"/>
      <c r="J138" s="217"/>
      <c r="K138" s="144"/>
    </row>
    <row r="139" spans="1:11" x14ac:dyDescent="0.15">
      <c r="A139" s="17" t="s">
        <v>426</v>
      </c>
      <c r="B139" s="19"/>
      <c r="C139" s="19"/>
      <c r="D139" s="20"/>
      <c r="E139" s="20"/>
      <c r="F139" s="19"/>
      <c r="G139" s="19"/>
      <c r="H139" s="19"/>
      <c r="I139" s="21"/>
      <c r="J139" s="111"/>
      <c r="K139" s="140"/>
    </row>
    <row r="140" spans="1:11" x14ac:dyDescent="0.15">
      <c r="A140" s="1462" t="s">
        <v>15</v>
      </c>
      <c r="B140" s="1463"/>
      <c r="C140" s="288" t="s">
        <v>22</v>
      </c>
      <c r="D140" s="289" t="s">
        <v>37</v>
      </c>
      <c r="E140" s="289" t="s">
        <v>377</v>
      </c>
      <c r="F140" s="288"/>
      <c r="G140" s="288"/>
      <c r="H140" s="288"/>
      <c r="I140" s="305"/>
      <c r="J140" s="287"/>
      <c r="K140" s="306"/>
    </row>
    <row r="141" spans="1:11" x14ac:dyDescent="0.15">
      <c r="A141" s="40" t="s">
        <v>40</v>
      </c>
      <c r="B141" s="41" t="s">
        <v>379</v>
      </c>
      <c r="C141" s="48"/>
      <c r="D141" s="43">
        <f>C141/C$28*10000</f>
        <v>0</v>
      </c>
      <c r="E141" s="49"/>
      <c r="I141" s="51"/>
      <c r="K141" s="144"/>
    </row>
    <row r="142" spans="1:11" x14ac:dyDescent="0.15">
      <c r="A142" s="47">
        <v>1</v>
      </c>
      <c r="B142" s="7" t="s">
        <v>60</v>
      </c>
      <c r="C142" s="48"/>
      <c r="D142" s="43" t="s">
        <v>302</v>
      </c>
      <c r="E142" s="49"/>
      <c r="I142" s="51"/>
      <c r="K142" s="144"/>
    </row>
    <row r="143" spans="1:11" x14ac:dyDescent="0.15">
      <c r="A143" s="47">
        <v>2</v>
      </c>
      <c r="B143" s="7" t="s">
        <v>65</v>
      </c>
      <c r="C143" s="48"/>
      <c r="D143" s="43" t="s">
        <v>302</v>
      </c>
      <c r="E143" s="49"/>
      <c r="I143" s="51"/>
      <c r="K143" s="144"/>
    </row>
    <row r="144" spans="1:11" x14ac:dyDescent="0.15">
      <c r="A144" s="47">
        <v>3</v>
      </c>
      <c r="B144" s="7" t="s">
        <v>71</v>
      </c>
      <c r="C144" s="48"/>
      <c r="D144" s="43" t="s">
        <v>302</v>
      </c>
      <c r="E144" s="49"/>
      <c r="I144" s="51"/>
      <c r="K144" s="144"/>
    </row>
    <row r="145" spans="1:11" x14ac:dyDescent="0.15">
      <c r="A145" s="47">
        <v>4</v>
      </c>
      <c r="B145" s="7" t="s">
        <v>383</v>
      </c>
      <c r="C145" s="48"/>
      <c r="D145" s="43" t="s">
        <v>302</v>
      </c>
      <c r="E145" s="49"/>
      <c r="I145" s="51"/>
      <c r="K145" s="144"/>
    </row>
    <row r="146" spans="1:11" x14ac:dyDescent="0.15">
      <c r="A146" s="40" t="s">
        <v>45</v>
      </c>
      <c r="B146" s="52" t="s">
        <v>130</v>
      </c>
      <c r="C146" s="53"/>
      <c r="D146" s="43">
        <f>C146/C$28*10000</f>
        <v>0</v>
      </c>
      <c r="E146" s="49"/>
      <c r="I146" s="51"/>
      <c r="K146" s="144"/>
    </row>
    <row r="147" spans="1:11" x14ac:dyDescent="0.15">
      <c r="A147" s="40"/>
      <c r="B147" s="52" t="s">
        <v>131</v>
      </c>
      <c r="C147" s="53"/>
      <c r="D147" s="43"/>
      <c r="E147" s="49"/>
      <c r="I147" s="51"/>
      <c r="K147" s="144"/>
    </row>
    <row r="148" spans="1:11" ht="40.5" x14ac:dyDescent="0.15">
      <c r="A148" s="40"/>
      <c r="B148" s="52" t="s">
        <v>385</v>
      </c>
      <c r="C148" s="53"/>
      <c r="D148" s="43"/>
      <c r="E148" s="49"/>
      <c r="I148" s="51"/>
      <c r="K148" s="144"/>
    </row>
    <row r="149" spans="1:11" x14ac:dyDescent="0.15">
      <c r="A149" s="54" t="s">
        <v>83</v>
      </c>
      <c r="B149" s="52" t="s">
        <v>386</v>
      </c>
      <c r="C149" s="53"/>
      <c r="D149" s="209">
        <f t="shared" ref="D149:D153" si="10">C149/C$28*10000</f>
        <v>0</v>
      </c>
      <c r="E149" s="63"/>
      <c r="F149" s="52"/>
      <c r="G149" s="52"/>
      <c r="H149" s="52"/>
      <c r="I149" s="155"/>
      <c r="K149" s="144"/>
    </row>
    <row r="150" spans="1:11" x14ac:dyDescent="0.15">
      <c r="A150" s="54"/>
      <c r="B150" s="69" t="s">
        <v>434</v>
      </c>
      <c r="C150" s="53"/>
      <c r="D150" s="209"/>
      <c r="E150" s="63"/>
      <c r="F150" s="52"/>
      <c r="G150" s="52"/>
      <c r="H150" s="52"/>
      <c r="I150" s="155"/>
      <c r="K150" s="144"/>
    </row>
    <row r="151" spans="1:11" x14ac:dyDescent="0.15">
      <c r="A151" s="54"/>
      <c r="B151" s="69" t="s">
        <v>435</v>
      </c>
      <c r="C151" s="53"/>
      <c r="D151" s="209"/>
      <c r="E151" s="63"/>
      <c r="F151" s="52"/>
      <c r="G151" s="52"/>
      <c r="H151" s="52"/>
      <c r="I151" s="155"/>
      <c r="K151" s="144"/>
    </row>
    <row r="152" spans="1:11" outlineLevel="1" x14ac:dyDescent="0.15">
      <c r="A152" s="54">
        <v>1</v>
      </c>
      <c r="B152" s="55" t="s">
        <v>133</v>
      </c>
      <c r="C152" s="56"/>
      <c r="D152" s="57">
        <f t="shared" si="10"/>
        <v>0</v>
      </c>
      <c r="E152" s="58"/>
      <c r="F152" s="55"/>
      <c r="G152" s="55"/>
      <c r="H152" s="55"/>
      <c r="I152" s="61"/>
      <c r="K152" s="144"/>
    </row>
    <row r="153" spans="1:11" ht="27" outlineLevel="1" x14ac:dyDescent="0.15">
      <c r="A153" s="54">
        <v>2</v>
      </c>
      <c r="B153" s="55" t="s">
        <v>134</v>
      </c>
      <c r="C153" s="56"/>
      <c r="D153" s="57">
        <f t="shared" si="10"/>
        <v>0</v>
      </c>
      <c r="E153" s="58"/>
      <c r="F153" s="55"/>
      <c r="G153" s="55"/>
      <c r="H153" s="55"/>
      <c r="I153" s="61"/>
      <c r="K153" s="144"/>
    </row>
    <row r="154" spans="1:11" outlineLevel="1" x14ac:dyDescent="0.15">
      <c r="A154" s="54">
        <v>3</v>
      </c>
      <c r="B154" s="55" t="s">
        <v>436</v>
      </c>
      <c r="C154" s="56"/>
      <c r="D154" s="57"/>
      <c r="E154" s="58"/>
      <c r="F154" s="55"/>
      <c r="G154" s="55"/>
      <c r="H154" s="55"/>
      <c r="I154" s="61"/>
      <c r="K154" s="144"/>
    </row>
    <row r="155" spans="1:11" outlineLevel="1" x14ac:dyDescent="0.15">
      <c r="A155" s="54">
        <v>4</v>
      </c>
      <c r="B155" s="55" t="s">
        <v>390</v>
      </c>
      <c r="C155" s="56"/>
      <c r="D155" s="57">
        <f t="shared" ref="D155:D173" si="11">C155/C$28*10000</f>
        <v>0</v>
      </c>
      <c r="E155" s="58"/>
      <c r="F155" s="55"/>
      <c r="G155" s="55"/>
      <c r="H155" s="55"/>
      <c r="I155" s="61"/>
      <c r="K155" s="144"/>
    </row>
    <row r="156" spans="1:11" x14ac:dyDescent="0.15">
      <c r="A156" s="47" t="s">
        <v>105</v>
      </c>
      <c r="B156" s="52" t="s">
        <v>137</v>
      </c>
      <c r="C156" s="53"/>
      <c r="D156" s="209">
        <f t="shared" si="11"/>
        <v>0</v>
      </c>
      <c r="E156" s="63"/>
      <c r="F156" s="52"/>
      <c r="G156" s="52"/>
      <c r="H156" s="52"/>
      <c r="I156" s="155"/>
      <c r="K156" s="144"/>
    </row>
    <row r="157" spans="1:11" x14ac:dyDescent="0.15">
      <c r="A157" s="47">
        <v>1</v>
      </c>
      <c r="B157" s="41" t="s">
        <v>89</v>
      </c>
      <c r="C157" s="42"/>
      <c r="D157" s="211">
        <f t="shared" si="11"/>
        <v>0</v>
      </c>
      <c r="E157" s="44"/>
      <c r="F157" s="322"/>
      <c r="G157" s="322"/>
      <c r="H157" s="322"/>
      <c r="I157" s="16"/>
      <c r="K157" s="144"/>
    </row>
    <row r="158" spans="1:11" ht="27" outlineLevel="1" x14ac:dyDescent="0.15">
      <c r="A158" s="47">
        <v>2</v>
      </c>
      <c r="B158" s="41" t="s">
        <v>93</v>
      </c>
      <c r="C158" s="42"/>
      <c r="D158" s="211">
        <f t="shared" si="11"/>
        <v>0</v>
      </c>
      <c r="E158" s="44"/>
      <c r="F158" s="322"/>
      <c r="G158" s="322"/>
      <c r="H158" s="322"/>
      <c r="I158" s="16"/>
      <c r="K158" s="144"/>
    </row>
    <row r="159" spans="1:11" ht="27" outlineLevel="1" x14ac:dyDescent="0.15">
      <c r="A159" s="47">
        <v>2.1</v>
      </c>
      <c r="B159" s="7" t="s">
        <v>138</v>
      </c>
      <c r="C159" s="48"/>
      <c r="D159" s="43">
        <f t="shared" si="11"/>
        <v>0</v>
      </c>
      <c r="E159" s="49"/>
      <c r="I159" s="51"/>
      <c r="K159" s="144"/>
    </row>
    <row r="160" spans="1:11" outlineLevel="1" x14ac:dyDescent="0.15">
      <c r="A160" s="47">
        <v>2.2000000000000002</v>
      </c>
      <c r="B160" s="7" t="s">
        <v>139</v>
      </c>
      <c r="C160" s="48"/>
      <c r="D160" s="43">
        <f t="shared" si="11"/>
        <v>0</v>
      </c>
      <c r="E160" s="49"/>
      <c r="I160" s="51"/>
      <c r="K160" s="144"/>
    </row>
    <row r="161" spans="1:11" ht="27" x14ac:dyDescent="0.15">
      <c r="A161" s="47">
        <v>3</v>
      </c>
      <c r="B161" s="41" t="s">
        <v>98</v>
      </c>
      <c r="C161" s="42"/>
      <c r="D161" s="211">
        <f t="shared" si="11"/>
        <v>0</v>
      </c>
      <c r="E161" s="44"/>
      <c r="F161" s="322"/>
      <c r="G161" s="322"/>
      <c r="H161" s="322"/>
      <c r="I161" s="16"/>
      <c r="K161" s="144"/>
    </row>
    <row r="162" spans="1:11" outlineLevel="1" x14ac:dyDescent="0.15">
      <c r="A162" s="47">
        <v>3.1</v>
      </c>
      <c r="B162" s="7" t="s">
        <v>140</v>
      </c>
      <c r="C162" s="48"/>
      <c r="D162" s="43">
        <f t="shared" si="11"/>
        <v>0</v>
      </c>
      <c r="E162" s="49"/>
      <c r="I162" s="51"/>
      <c r="K162" s="144"/>
    </row>
    <row r="163" spans="1:11" outlineLevel="1" x14ac:dyDescent="0.15">
      <c r="A163" s="47">
        <v>3.2</v>
      </c>
      <c r="B163" s="7" t="s">
        <v>141</v>
      </c>
      <c r="C163" s="48"/>
      <c r="D163" s="43">
        <f t="shared" si="11"/>
        <v>0</v>
      </c>
      <c r="E163" s="49"/>
      <c r="I163" s="51"/>
      <c r="K163" s="144"/>
    </row>
    <row r="164" spans="1:11" outlineLevel="1" x14ac:dyDescent="0.15">
      <c r="A164" s="47">
        <v>3.4</v>
      </c>
      <c r="B164" s="7" t="s">
        <v>142</v>
      </c>
      <c r="C164" s="48"/>
      <c r="D164" s="43">
        <f t="shared" si="11"/>
        <v>0</v>
      </c>
      <c r="E164" s="49"/>
      <c r="I164" s="51"/>
      <c r="K164" s="144"/>
    </row>
    <row r="165" spans="1:11" x14ac:dyDescent="0.15">
      <c r="A165" s="47" t="s">
        <v>112</v>
      </c>
      <c r="B165" s="154" t="s">
        <v>398</v>
      </c>
      <c r="C165" s="53"/>
      <c r="D165" s="209">
        <f t="shared" si="11"/>
        <v>0</v>
      </c>
      <c r="E165" s="63"/>
      <c r="F165" s="52"/>
      <c r="G165" s="52"/>
      <c r="H165" s="52"/>
      <c r="I165" s="155"/>
      <c r="K165" s="144"/>
    </row>
    <row r="166" spans="1:11" x14ac:dyDescent="0.15">
      <c r="A166" s="47">
        <v>5.0999999999999996</v>
      </c>
      <c r="B166" s="7" t="s">
        <v>143</v>
      </c>
      <c r="C166" s="48"/>
      <c r="D166" s="43">
        <f t="shared" si="11"/>
        <v>0</v>
      </c>
      <c r="E166" s="49"/>
      <c r="I166" s="51"/>
      <c r="K166" s="144"/>
    </row>
    <row r="167" spans="1:11" x14ac:dyDescent="0.15">
      <c r="A167" s="47">
        <v>5.2</v>
      </c>
      <c r="B167" s="7" t="s">
        <v>144</v>
      </c>
      <c r="C167" s="48"/>
      <c r="D167" s="43">
        <f t="shared" si="11"/>
        <v>0</v>
      </c>
      <c r="E167" s="49"/>
      <c r="I167" s="51"/>
      <c r="K167" s="144"/>
    </row>
    <row r="168" spans="1:11" x14ac:dyDescent="0.15">
      <c r="A168" s="47">
        <v>5.3</v>
      </c>
      <c r="B168" s="7" t="s">
        <v>145</v>
      </c>
      <c r="C168" s="48"/>
      <c r="D168" s="43">
        <f t="shared" si="11"/>
        <v>0</v>
      </c>
      <c r="E168" s="49"/>
      <c r="I168" s="51"/>
      <c r="K168" s="144"/>
    </row>
    <row r="169" spans="1:11" ht="27" x14ac:dyDescent="0.15">
      <c r="A169" s="64" t="s">
        <v>115</v>
      </c>
      <c r="B169" s="154" t="s">
        <v>146</v>
      </c>
      <c r="C169" s="53"/>
      <c r="D169" s="209">
        <f t="shared" si="11"/>
        <v>0</v>
      </c>
      <c r="E169" s="63"/>
      <c r="F169" s="52"/>
      <c r="G169" s="52"/>
      <c r="H169" s="52"/>
      <c r="I169" s="155"/>
      <c r="K169" s="144"/>
    </row>
    <row r="170" spans="1:11" x14ac:dyDescent="0.15">
      <c r="A170" s="47" t="s">
        <v>117</v>
      </c>
      <c r="B170" s="8" t="s">
        <v>148</v>
      </c>
      <c r="C170" s="48"/>
      <c r="D170" s="43">
        <f t="shared" si="11"/>
        <v>0</v>
      </c>
      <c r="E170" s="49"/>
      <c r="I170" s="51"/>
      <c r="K170" s="144"/>
    </row>
    <row r="171" spans="1:11" outlineLevel="2" x14ac:dyDescent="0.15">
      <c r="A171" s="51">
        <v>7.1</v>
      </c>
      <c r="B171" s="8" t="s">
        <v>400</v>
      </c>
      <c r="C171" s="48"/>
      <c r="D171" s="43">
        <f t="shared" si="11"/>
        <v>0</v>
      </c>
      <c r="E171" s="49"/>
      <c r="I171" s="51"/>
      <c r="K171" s="144"/>
    </row>
    <row r="172" spans="1:11" ht="27" outlineLevel="2" x14ac:dyDescent="0.15">
      <c r="A172" s="47">
        <v>7.2</v>
      </c>
      <c r="B172" s="6" t="s">
        <v>149</v>
      </c>
      <c r="C172" s="48"/>
      <c r="D172" s="43">
        <f t="shared" si="11"/>
        <v>0</v>
      </c>
      <c r="E172" s="49"/>
      <c r="I172" s="51"/>
      <c r="K172" s="144"/>
    </row>
    <row r="173" spans="1:11" ht="40.5" outlineLevel="2" x14ac:dyDescent="0.15">
      <c r="A173" s="47">
        <v>7.3</v>
      </c>
      <c r="B173" s="6" t="s">
        <v>441</v>
      </c>
      <c r="C173" s="48"/>
      <c r="D173" s="43">
        <f t="shared" si="11"/>
        <v>0</v>
      </c>
      <c r="E173" s="49"/>
      <c r="I173" s="51"/>
      <c r="K173" s="144"/>
    </row>
    <row r="174" spans="1:11" x14ac:dyDescent="0.15">
      <c r="A174" s="311" t="s">
        <v>151</v>
      </c>
      <c r="B174" s="312"/>
      <c r="C174" s="313"/>
      <c r="D174" s="314"/>
      <c r="E174" s="315"/>
      <c r="F174" s="315"/>
      <c r="G174" s="315"/>
      <c r="H174" s="315"/>
      <c r="I174" s="318"/>
      <c r="J174" s="323"/>
      <c r="K174" s="320"/>
    </row>
    <row r="175" spans="1:11" x14ac:dyDescent="0.15">
      <c r="A175" s="1469" t="s">
        <v>153</v>
      </c>
      <c r="B175" s="7" t="s">
        <v>152</v>
      </c>
      <c r="C175" s="48"/>
      <c r="D175" s="43">
        <f t="shared" ref="D175:D188" si="12">C175/C$28*10000</f>
        <v>0</v>
      </c>
      <c r="E175" s="163"/>
      <c r="I175" s="51"/>
      <c r="K175" s="144"/>
    </row>
    <row r="176" spans="1:11" x14ac:dyDescent="0.15">
      <c r="A176" s="1469"/>
      <c r="B176" s="7" t="s">
        <v>154</v>
      </c>
      <c r="C176" s="48"/>
      <c r="D176" s="43">
        <f t="shared" si="12"/>
        <v>0</v>
      </c>
      <c r="E176" s="163"/>
      <c r="I176" s="51"/>
      <c r="K176" s="144"/>
    </row>
    <row r="177" spans="1:11" x14ac:dyDescent="0.15">
      <c r="A177" s="1469"/>
      <c r="B177" s="7" t="s">
        <v>155</v>
      </c>
      <c r="C177" s="48"/>
      <c r="D177" s="43">
        <f t="shared" si="12"/>
        <v>0</v>
      </c>
      <c r="E177" s="163"/>
      <c r="I177" s="51"/>
      <c r="K177" s="144"/>
    </row>
    <row r="178" spans="1:11" x14ac:dyDescent="0.15">
      <c r="A178" s="1469"/>
      <c r="B178" s="7" t="s">
        <v>156</v>
      </c>
      <c r="C178" s="48"/>
      <c r="D178" s="43">
        <f t="shared" si="12"/>
        <v>0</v>
      </c>
      <c r="E178" s="163"/>
      <c r="I178" s="51"/>
      <c r="K178" s="144"/>
    </row>
    <row r="179" spans="1:11" x14ac:dyDescent="0.15">
      <c r="A179" s="1469" t="s">
        <v>157</v>
      </c>
      <c r="B179" s="7" t="s">
        <v>403</v>
      </c>
      <c r="C179" s="48"/>
      <c r="D179" s="43">
        <f t="shared" si="12"/>
        <v>0</v>
      </c>
      <c r="E179" s="163"/>
      <c r="I179" s="51"/>
      <c r="K179" s="144"/>
    </row>
    <row r="180" spans="1:11" x14ac:dyDescent="0.15">
      <c r="A180" s="1469"/>
      <c r="B180" s="7" t="s">
        <v>161</v>
      </c>
      <c r="C180" s="48"/>
      <c r="D180" s="43">
        <f t="shared" si="12"/>
        <v>0</v>
      </c>
      <c r="E180" s="163"/>
      <c r="I180" s="51"/>
      <c r="K180" s="144"/>
    </row>
    <row r="181" spans="1:11" x14ac:dyDescent="0.15">
      <c r="A181" s="1469"/>
      <c r="B181" s="7" t="s">
        <v>404</v>
      </c>
      <c r="C181" s="48"/>
      <c r="D181" s="43">
        <f t="shared" si="12"/>
        <v>0</v>
      </c>
      <c r="E181" s="163"/>
      <c r="I181" s="51"/>
      <c r="K181" s="144"/>
    </row>
    <row r="182" spans="1:11" x14ac:dyDescent="0.15">
      <c r="A182" s="1469"/>
      <c r="B182" s="7" t="s">
        <v>163</v>
      </c>
      <c r="C182" s="48"/>
      <c r="D182" s="43">
        <f t="shared" si="12"/>
        <v>0</v>
      </c>
      <c r="E182" s="163"/>
      <c r="I182" s="51"/>
      <c r="K182" s="144"/>
    </row>
    <row r="183" spans="1:11" x14ac:dyDescent="0.15">
      <c r="A183" s="1469"/>
      <c r="B183" s="7" t="s">
        <v>164</v>
      </c>
      <c r="C183" s="48"/>
      <c r="D183" s="43">
        <f t="shared" si="12"/>
        <v>0</v>
      </c>
      <c r="E183" s="163"/>
      <c r="I183" s="51"/>
      <c r="K183" s="144"/>
    </row>
    <row r="184" spans="1:11" x14ac:dyDescent="0.15">
      <c r="A184" s="1469"/>
      <c r="B184" s="7" t="s">
        <v>165</v>
      </c>
      <c r="C184" s="48"/>
      <c r="D184" s="43">
        <f t="shared" si="12"/>
        <v>0</v>
      </c>
      <c r="E184" s="49"/>
      <c r="I184" s="51"/>
      <c r="K184" s="144"/>
    </row>
    <row r="185" spans="1:11" ht="27" x14ac:dyDescent="0.15">
      <c r="A185" s="1469"/>
      <c r="B185" s="7" t="s">
        <v>166</v>
      </c>
      <c r="C185" s="48"/>
      <c r="D185" s="43">
        <f t="shared" si="12"/>
        <v>0</v>
      </c>
      <c r="E185" s="49"/>
      <c r="I185" s="51"/>
      <c r="K185" s="144"/>
    </row>
    <row r="186" spans="1:11" ht="27" x14ac:dyDescent="0.15">
      <c r="A186" s="1469"/>
      <c r="B186" s="7" t="s">
        <v>167</v>
      </c>
      <c r="C186" s="48"/>
      <c r="D186" s="43">
        <f t="shared" si="12"/>
        <v>0</v>
      </c>
      <c r="E186" s="49"/>
      <c r="I186" s="51"/>
      <c r="K186" s="144"/>
    </row>
    <row r="187" spans="1:11" x14ac:dyDescent="0.15">
      <c r="A187" s="1469" t="s">
        <v>405</v>
      </c>
      <c r="B187" s="7" t="s">
        <v>406</v>
      </c>
      <c r="C187" s="48"/>
      <c r="D187" s="43">
        <f t="shared" si="12"/>
        <v>0</v>
      </c>
      <c r="E187" s="49"/>
      <c r="I187" s="51"/>
      <c r="K187" s="144"/>
    </row>
    <row r="188" spans="1:11" x14ac:dyDescent="0.15">
      <c r="A188" s="1469"/>
      <c r="B188" s="7" t="s">
        <v>407</v>
      </c>
      <c r="C188" s="48"/>
      <c r="D188" s="43">
        <f t="shared" si="12"/>
        <v>0</v>
      </c>
      <c r="E188" s="49"/>
      <c r="I188" s="51"/>
      <c r="K188" s="144"/>
    </row>
    <row r="189" spans="1:11" outlineLevel="1" x14ac:dyDescent="0.15">
      <c r="A189" s="1469"/>
      <c r="B189" s="7" t="s">
        <v>408</v>
      </c>
      <c r="C189" s="48"/>
      <c r="D189" s="43"/>
      <c r="E189" s="49"/>
      <c r="I189" s="51"/>
      <c r="K189" s="144"/>
    </row>
    <row r="190" spans="1:11" ht="27" outlineLevel="1" x14ac:dyDescent="0.15">
      <c r="A190" s="1469"/>
      <c r="B190" s="7" t="s">
        <v>409</v>
      </c>
      <c r="C190" s="48"/>
      <c r="D190" s="43"/>
      <c r="E190" s="49"/>
      <c r="I190" s="51"/>
      <c r="K190" s="144"/>
    </row>
    <row r="191" spans="1:11" x14ac:dyDescent="0.15">
      <c r="A191" s="1469"/>
      <c r="B191" s="7" t="s">
        <v>410</v>
      </c>
      <c r="C191" s="48"/>
      <c r="D191" s="43">
        <f t="shared" ref="D191:D195" si="13">C191/C$28*10000</f>
        <v>0</v>
      </c>
      <c r="E191" s="49"/>
      <c r="I191" s="51"/>
      <c r="K191" s="144"/>
    </row>
    <row r="192" spans="1:11" x14ac:dyDescent="0.15">
      <c r="A192" s="1469"/>
      <c r="B192" s="7" t="s">
        <v>411</v>
      </c>
      <c r="C192" s="48"/>
      <c r="D192" s="43"/>
      <c r="E192" s="49"/>
      <c r="I192" s="51"/>
      <c r="K192" s="144"/>
    </row>
    <row r="193" spans="1:11" ht="27" x14ac:dyDescent="0.15">
      <c r="A193" s="1469"/>
      <c r="B193" s="7" t="s">
        <v>412</v>
      </c>
      <c r="C193" s="48"/>
      <c r="D193" s="43"/>
      <c r="E193" s="49"/>
      <c r="I193" s="51"/>
      <c r="K193" s="144"/>
    </row>
    <row r="194" spans="1:11" ht="27" x14ac:dyDescent="0.15">
      <c r="A194" s="1469"/>
      <c r="B194" s="7" t="s">
        <v>108</v>
      </c>
      <c r="C194" s="48"/>
      <c r="D194" s="43">
        <f t="shared" si="13"/>
        <v>0</v>
      </c>
      <c r="E194" s="49"/>
      <c r="I194" s="51"/>
      <c r="K194" s="144"/>
    </row>
    <row r="195" spans="1:11" x14ac:dyDescent="0.15">
      <c r="A195" s="1469"/>
      <c r="B195" s="7" t="s">
        <v>413</v>
      </c>
      <c r="C195" s="48"/>
      <c r="D195" s="43">
        <f t="shared" si="13"/>
        <v>0</v>
      </c>
      <c r="E195" s="49"/>
      <c r="I195" s="51"/>
      <c r="K195" s="144"/>
    </row>
    <row r="196" spans="1:11" outlineLevel="1" x14ac:dyDescent="0.15">
      <c r="A196" s="1469"/>
      <c r="B196" s="7" t="s">
        <v>173</v>
      </c>
      <c r="C196" s="48"/>
      <c r="D196" s="43"/>
      <c r="E196" s="49"/>
      <c r="I196" s="51"/>
      <c r="K196" s="144"/>
    </row>
    <row r="197" spans="1:11" ht="27" outlineLevel="1" x14ac:dyDescent="0.15">
      <c r="A197" s="1469"/>
      <c r="B197" s="7" t="s">
        <v>174</v>
      </c>
      <c r="C197" s="48"/>
      <c r="D197" s="43"/>
      <c r="E197" s="49"/>
      <c r="I197" s="51"/>
      <c r="K197" s="144"/>
    </row>
    <row r="198" spans="1:11" x14ac:dyDescent="0.15">
      <c r="A198" s="1469"/>
      <c r="B198" s="7" t="s">
        <v>414</v>
      </c>
      <c r="C198" s="48"/>
      <c r="D198" s="43">
        <f t="shared" ref="D198:D204" si="14">C198/C$28*10000</f>
        <v>0</v>
      </c>
      <c r="E198" s="49"/>
      <c r="I198" s="51"/>
      <c r="K198" s="144"/>
    </row>
    <row r="199" spans="1:11" x14ac:dyDescent="0.15">
      <c r="A199" s="1469"/>
      <c r="B199" s="7" t="s">
        <v>411</v>
      </c>
      <c r="C199" s="48"/>
      <c r="D199" s="43"/>
      <c r="E199" s="49"/>
      <c r="I199" s="51"/>
      <c r="K199" s="144"/>
    </row>
    <row r="200" spans="1:11" ht="27" x14ac:dyDescent="0.15">
      <c r="A200" s="1469"/>
      <c r="B200" s="7" t="s">
        <v>412</v>
      </c>
      <c r="C200" s="48"/>
      <c r="D200" s="43"/>
      <c r="E200" s="49"/>
      <c r="I200" s="51"/>
      <c r="K200" s="144"/>
    </row>
    <row r="201" spans="1:11" x14ac:dyDescent="0.15">
      <c r="A201" s="1469"/>
      <c r="B201" s="7" t="s">
        <v>109</v>
      </c>
      <c r="D201" s="43">
        <f t="shared" si="14"/>
        <v>0</v>
      </c>
      <c r="I201" s="51"/>
      <c r="K201" s="144"/>
    </row>
    <row r="202" spans="1:11" x14ac:dyDescent="0.15">
      <c r="A202" s="1469"/>
      <c r="B202" s="7" t="s">
        <v>110</v>
      </c>
      <c r="D202" s="43">
        <f t="shared" si="14"/>
        <v>0</v>
      </c>
      <c r="I202" s="51"/>
      <c r="K202" s="144"/>
    </row>
    <row r="203" spans="1:11" x14ac:dyDescent="0.15">
      <c r="A203" s="1469"/>
      <c r="B203" s="7" t="s">
        <v>111</v>
      </c>
      <c r="D203" s="43">
        <f t="shared" si="14"/>
        <v>0</v>
      </c>
      <c r="I203" s="51"/>
      <c r="K203" s="144"/>
    </row>
    <row r="204" spans="1:11" x14ac:dyDescent="0.15">
      <c r="A204" s="47" t="s">
        <v>176</v>
      </c>
      <c r="B204" s="7" t="s">
        <v>177</v>
      </c>
      <c r="C204" s="48"/>
      <c r="D204" s="43">
        <f t="shared" si="14"/>
        <v>0</v>
      </c>
      <c r="E204" s="49"/>
      <c r="I204" s="51"/>
      <c r="K204" s="144"/>
    </row>
    <row r="205" spans="1:11" x14ac:dyDescent="0.15">
      <c r="A205" s="17" t="s">
        <v>442</v>
      </c>
      <c r="B205" s="18"/>
      <c r="C205" s="19"/>
      <c r="D205" s="20"/>
      <c r="E205" s="20"/>
      <c r="F205" s="20"/>
      <c r="G205" s="20"/>
      <c r="H205" s="20"/>
      <c r="I205" s="22"/>
      <c r="J205" s="111"/>
      <c r="K205" s="140"/>
    </row>
    <row r="206" spans="1:11" x14ac:dyDescent="0.15">
      <c r="A206" s="1466" t="s">
        <v>443</v>
      </c>
      <c r="B206" s="1467"/>
      <c r="C206" s="288"/>
      <c r="D206" s="289"/>
      <c r="E206" s="289"/>
      <c r="F206" s="289"/>
      <c r="G206" s="289"/>
      <c r="H206" s="289"/>
      <c r="I206" s="325"/>
      <c r="J206" s="287"/>
      <c r="K206" s="306"/>
    </row>
    <row r="207" spans="1:11" outlineLevel="2" x14ac:dyDescent="0.15">
      <c r="A207" s="47">
        <v>1</v>
      </c>
      <c r="B207" s="7" t="s">
        <v>139</v>
      </c>
      <c r="C207" s="48"/>
      <c r="D207" s="43">
        <f t="shared" ref="D207:D211" si="15">C207/C$28*10000</f>
        <v>0</v>
      </c>
      <c r="E207" s="49"/>
      <c r="I207" s="51"/>
      <c r="K207" s="144"/>
    </row>
    <row r="208" spans="1:11" outlineLevel="2" x14ac:dyDescent="0.15">
      <c r="A208" s="47">
        <v>2</v>
      </c>
      <c r="B208" s="7" t="s">
        <v>256</v>
      </c>
      <c r="C208" s="48"/>
      <c r="D208" s="43">
        <f t="shared" si="15"/>
        <v>0</v>
      </c>
      <c r="E208" s="49"/>
      <c r="I208" s="51"/>
      <c r="K208" s="144"/>
    </row>
    <row r="209" spans="1:11" outlineLevel="2" x14ac:dyDescent="0.15">
      <c r="A209" s="47">
        <v>3</v>
      </c>
      <c r="B209" s="7" t="s">
        <v>417</v>
      </c>
      <c r="C209" s="48"/>
      <c r="D209" s="43">
        <f t="shared" si="15"/>
        <v>0</v>
      </c>
      <c r="E209" s="49"/>
      <c r="I209" s="51"/>
      <c r="K209" s="144"/>
    </row>
    <row r="210" spans="1:11" outlineLevel="2" x14ac:dyDescent="0.15">
      <c r="A210" s="47">
        <v>4</v>
      </c>
      <c r="B210" s="7" t="s">
        <v>193</v>
      </c>
      <c r="C210" s="48"/>
      <c r="D210" s="43">
        <f t="shared" si="15"/>
        <v>0</v>
      </c>
      <c r="E210" s="49"/>
      <c r="I210" s="51"/>
      <c r="K210" s="144"/>
    </row>
    <row r="211" spans="1:11" outlineLevel="1" x14ac:dyDescent="0.15">
      <c r="A211" s="47" t="s">
        <v>40</v>
      </c>
      <c r="B211" s="7" t="s">
        <v>257</v>
      </c>
      <c r="C211" s="48"/>
      <c r="D211" s="43">
        <f t="shared" si="15"/>
        <v>0</v>
      </c>
      <c r="E211" s="49"/>
      <c r="I211" s="51"/>
      <c r="K211" s="144"/>
    </row>
    <row r="212" spans="1:11" outlineLevel="3" x14ac:dyDescent="0.15">
      <c r="A212" s="47"/>
      <c r="B212" s="7" t="s">
        <v>450</v>
      </c>
      <c r="C212" s="48"/>
      <c r="D212" s="43"/>
      <c r="E212" s="49"/>
      <c r="I212" s="51"/>
      <c r="K212" s="144"/>
    </row>
    <row r="213" spans="1:11" outlineLevel="3" x14ac:dyDescent="0.15">
      <c r="A213" s="47"/>
      <c r="B213" s="7" t="s">
        <v>452</v>
      </c>
      <c r="C213" s="48"/>
      <c r="D213" s="43"/>
      <c r="E213" s="49"/>
      <c r="I213" s="51"/>
      <c r="K213" s="144"/>
    </row>
    <row r="214" spans="1:11" outlineLevel="2" x14ac:dyDescent="0.15">
      <c r="A214" s="47"/>
      <c r="B214" s="7" t="s">
        <v>453</v>
      </c>
      <c r="C214" s="48"/>
      <c r="D214" s="43"/>
      <c r="E214" s="49"/>
      <c r="I214" s="51"/>
      <c r="K214" s="144"/>
    </row>
    <row r="215" spans="1:11" outlineLevel="2" x14ac:dyDescent="0.15">
      <c r="A215" s="47"/>
      <c r="B215" s="7" t="s">
        <v>454</v>
      </c>
      <c r="C215" s="48"/>
      <c r="D215" s="43"/>
      <c r="E215" s="49"/>
      <c r="I215" s="51"/>
      <c r="K215" s="144"/>
    </row>
    <row r="216" spans="1:11" outlineLevel="2" x14ac:dyDescent="0.15">
      <c r="A216" s="47" t="s">
        <v>45</v>
      </c>
      <c r="B216" s="7" t="s">
        <v>258</v>
      </c>
      <c r="C216" s="48"/>
      <c r="D216" s="43">
        <f t="shared" ref="D216:D218" si="16">C216/C$28*10000</f>
        <v>0</v>
      </c>
      <c r="E216" s="49"/>
      <c r="I216" s="51"/>
      <c r="K216" s="144"/>
    </row>
    <row r="217" spans="1:11" outlineLevel="2" x14ac:dyDescent="0.15">
      <c r="A217" s="47" t="s">
        <v>83</v>
      </c>
      <c r="B217" s="7" t="s">
        <v>261</v>
      </c>
      <c r="C217" s="48"/>
      <c r="D217" s="43">
        <f t="shared" si="16"/>
        <v>0</v>
      </c>
      <c r="E217" s="49"/>
      <c r="I217" s="51"/>
      <c r="K217" s="144"/>
    </row>
    <row r="218" spans="1:11" outlineLevel="2" x14ac:dyDescent="0.15">
      <c r="A218" s="47" t="s">
        <v>105</v>
      </c>
      <c r="B218" s="7" t="s">
        <v>421</v>
      </c>
      <c r="C218" s="221"/>
      <c r="D218" s="222">
        <f t="shared" si="16"/>
        <v>0</v>
      </c>
      <c r="E218" s="223"/>
      <c r="I218" s="51"/>
      <c r="K218" s="144"/>
    </row>
    <row r="219" spans="1:11" x14ac:dyDescent="0.15">
      <c r="A219" s="1466" t="s">
        <v>455</v>
      </c>
      <c r="B219" s="1467"/>
      <c r="C219" s="288"/>
      <c r="D219" s="289"/>
      <c r="E219" s="289"/>
      <c r="F219" s="289"/>
      <c r="G219" s="289"/>
      <c r="H219" s="289"/>
      <c r="I219" s="325"/>
      <c r="J219" s="287"/>
      <c r="K219" s="306"/>
    </row>
    <row r="220" spans="1:11" outlineLevel="2" x14ac:dyDescent="0.15">
      <c r="A220" s="47">
        <v>1</v>
      </c>
      <c r="B220" s="7" t="s">
        <v>86</v>
      </c>
      <c r="C220" s="48"/>
      <c r="D220" s="43">
        <f t="shared" ref="D220:D225" si="17">C220/C$28*10000</f>
        <v>0</v>
      </c>
      <c r="E220" s="49"/>
      <c r="I220" s="51"/>
      <c r="K220" s="144"/>
    </row>
    <row r="221" spans="1:11" outlineLevel="2" x14ac:dyDescent="0.15">
      <c r="A221" s="47">
        <v>2</v>
      </c>
      <c r="B221" s="7" t="s">
        <v>456</v>
      </c>
      <c r="C221" s="48"/>
      <c r="D221" s="43">
        <f t="shared" si="17"/>
        <v>0</v>
      </c>
      <c r="E221" s="49"/>
      <c r="I221" s="51"/>
      <c r="K221" s="144"/>
    </row>
    <row r="222" spans="1:11" outlineLevel="2" x14ac:dyDescent="0.15">
      <c r="A222" s="47">
        <v>3</v>
      </c>
      <c r="B222" s="7" t="s">
        <v>425</v>
      </c>
      <c r="C222" s="48"/>
      <c r="D222" s="43">
        <f t="shared" si="17"/>
        <v>0</v>
      </c>
      <c r="E222" s="49"/>
      <c r="I222" s="51"/>
      <c r="K222" s="144"/>
    </row>
    <row r="223" spans="1:11" outlineLevel="1" x14ac:dyDescent="0.15">
      <c r="A223" s="47" t="s">
        <v>40</v>
      </c>
      <c r="B223" s="7" t="s">
        <v>257</v>
      </c>
      <c r="C223" s="48"/>
      <c r="D223" s="43">
        <f t="shared" si="17"/>
        <v>0</v>
      </c>
      <c r="E223" s="49"/>
      <c r="I223" s="51"/>
      <c r="K223" s="144"/>
    </row>
    <row r="224" spans="1:11" outlineLevel="2" x14ac:dyDescent="0.15">
      <c r="A224" s="47" t="s">
        <v>45</v>
      </c>
      <c r="B224" s="7" t="s">
        <v>258</v>
      </c>
      <c r="C224" s="48"/>
      <c r="D224" s="43">
        <f t="shared" si="17"/>
        <v>0</v>
      </c>
      <c r="E224" s="49"/>
      <c r="I224" s="51"/>
      <c r="K224" s="144"/>
    </row>
    <row r="225" spans="1:11" outlineLevel="2" x14ac:dyDescent="0.15">
      <c r="A225" s="47" t="s">
        <v>83</v>
      </c>
      <c r="B225" s="7" t="s">
        <v>261</v>
      </c>
      <c r="C225" s="48"/>
      <c r="D225" s="43">
        <f t="shared" si="17"/>
        <v>0</v>
      </c>
      <c r="E225" s="49"/>
      <c r="I225" s="51"/>
      <c r="K225" s="144"/>
    </row>
    <row r="226" spans="1:11" outlineLevel="2" x14ac:dyDescent="0.15">
      <c r="A226" s="224" t="s">
        <v>105</v>
      </c>
      <c r="B226" s="225" t="s">
        <v>421</v>
      </c>
      <c r="C226" s="226"/>
      <c r="D226" s="227"/>
      <c r="E226" s="228"/>
      <c r="F226" s="324"/>
      <c r="G226" s="324"/>
      <c r="H226" s="324"/>
      <c r="I226" s="229"/>
      <c r="J226" s="271"/>
      <c r="K226" s="239"/>
    </row>
  </sheetData>
  <mergeCells count="85">
    <mergeCell ref="A140:B140"/>
    <mergeCell ref="A5:A8"/>
    <mergeCell ref="A9:A12"/>
    <mergeCell ref="A13:A35"/>
    <mergeCell ref="A36:A41"/>
    <mergeCell ref="A45:A47"/>
    <mergeCell ref="A206:B206"/>
    <mergeCell ref="A219:B219"/>
    <mergeCell ref="A187:A203"/>
    <mergeCell ref="C40:E40"/>
    <mergeCell ref="C41:E41"/>
    <mergeCell ref="C42:E42"/>
    <mergeCell ref="C43:E43"/>
    <mergeCell ref="A53:B53"/>
    <mergeCell ref="B38:B40"/>
    <mergeCell ref="A85:A88"/>
    <mergeCell ref="A89:A96"/>
    <mergeCell ref="A97:A113"/>
    <mergeCell ref="A175:A178"/>
    <mergeCell ref="A179:A186"/>
    <mergeCell ref="A116:B116"/>
    <mergeCell ref="A131:B131"/>
    <mergeCell ref="C36:E36"/>
    <mergeCell ref="F36:H36"/>
    <mergeCell ref="C37:E37"/>
    <mergeCell ref="C38:E38"/>
    <mergeCell ref="C39:E39"/>
    <mergeCell ref="C33:E33"/>
    <mergeCell ref="F33:H33"/>
    <mergeCell ref="C34:E34"/>
    <mergeCell ref="F34:H34"/>
    <mergeCell ref="C35:E35"/>
    <mergeCell ref="F35:H35"/>
    <mergeCell ref="C30:E30"/>
    <mergeCell ref="F30:H30"/>
    <mergeCell ref="C31:E31"/>
    <mergeCell ref="F31:H31"/>
    <mergeCell ref="C32:E32"/>
    <mergeCell ref="F32:H32"/>
    <mergeCell ref="C27:E27"/>
    <mergeCell ref="F27:H27"/>
    <mergeCell ref="C28:E28"/>
    <mergeCell ref="F28:H28"/>
    <mergeCell ref="C29:E29"/>
    <mergeCell ref="F29:H29"/>
    <mergeCell ref="C24:E24"/>
    <mergeCell ref="F24:H24"/>
    <mergeCell ref="C25:E25"/>
    <mergeCell ref="F25:H25"/>
    <mergeCell ref="C26:E26"/>
    <mergeCell ref="F26:H26"/>
    <mergeCell ref="C21:E21"/>
    <mergeCell ref="F21:H21"/>
    <mergeCell ref="C22:E22"/>
    <mergeCell ref="F22:H22"/>
    <mergeCell ref="C23:E23"/>
    <mergeCell ref="F23:H23"/>
    <mergeCell ref="C18:E18"/>
    <mergeCell ref="F18:H18"/>
    <mergeCell ref="C19:E19"/>
    <mergeCell ref="F19:H19"/>
    <mergeCell ref="C20:E20"/>
    <mergeCell ref="F20:H20"/>
    <mergeCell ref="C15:E15"/>
    <mergeCell ref="F15:H15"/>
    <mergeCell ref="C16:E16"/>
    <mergeCell ref="F16:H16"/>
    <mergeCell ref="C17:E17"/>
    <mergeCell ref="F17:H17"/>
    <mergeCell ref="C10:E10"/>
    <mergeCell ref="C12:E12"/>
    <mergeCell ref="C13:E13"/>
    <mergeCell ref="F13:H13"/>
    <mergeCell ref="C14:E14"/>
    <mergeCell ref="F14:H14"/>
    <mergeCell ref="C5:E5"/>
    <mergeCell ref="C6:E6"/>
    <mergeCell ref="C7:E7"/>
    <mergeCell ref="C8:E8"/>
    <mergeCell ref="C9:E9"/>
    <mergeCell ref="A1:I1"/>
    <mergeCell ref="A2:E2"/>
    <mergeCell ref="J2:K2"/>
    <mergeCell ref="A3:B3"/>
    <mergeCell ref="C3:E3"/>
  </mergeCells>
  <phoneticPr fontId="62" type="noConversion"/>
  <pageMargins left="0.7" right="0.7" top="0.75" bottom="0.75" header="0.3" footer="0.3"/>
  <pageSetup paperSize="9" orientation="portrait"/>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U228"/>
  <sheetViews>
    <sheetView zoomScale="70" zoomScaleNormal="70" workbookViewId="0">
      <pane xSplit="5" ySplit="4" topLeftCell="K105" activePane="bottomRight" state="frozen"/>
      <selection pane="topRight"/>
      <selection pane="bottomLeft"/>
      <selection pane="bottomRight" activeCell="P120" sqref="P120"/>
    </sheetView>
  </sheetViews>
  <sheetFormatPr defaultColWidth="9.75" defaultRowHeight="14.25" outlineLevelRow="3" x14ac:dyDescent="0.15"/>
  <cols>
    <col min="1" max="1" width="11" style="6" customWidth="1"/>
    <col min="2" max="2" width="35.5" style="7" customWidth="1"/>
    <col min="3" max="3" width="16.5" style="8" customWidth="1"/>
    <col min="4" max="4" width="13.25" style="9" customWidth="1"/>
    <col min="5" max="5" width="15.125" style="9" customWidth="1"/>
    <col min="6" max="6" width="47.25" style="8" customWidth="1"/>
    <col min="7" max="7" width="48.625" style="9" customWidth="1"/>
    <col min="8" max="8" width="47.25" style="8" customWidth="1"/>
    <col min="9" max="9" width="45" style="9" customWidth="1"/>
    <col min="10" max="10" width="45.375" style="10" customWidth="1"/>
    <col min="11" max="12" width="14.875" style="12" customWidth="1"/>
    <col min="13" max="13" width="12.25" style="12" customWidth="1"/>
    <col min="14" max="15" width="14.875" style="12" customWidth="1"/>
    <col min="16" max="16" width="15.375" customWidth="1"/>
    <col min="17" max="17" width="35.75" style="8" customWidth="1"/>
    <col min="18" max="18" width="41.125" style="8" customWidth="1"/>
    <col min="19" max="19" width="23.5" style="13" hidden="1" customWidth="1"/>
    <col min="20" max="20" width="9.75" style="13" hidden="1" customWidth="1"/>
    <col min="21" max="21" width="15.375" style="9" hidden="1" customWidth="1"/>
    <col min="22" max="16384" width="9.75" style="9"/>
  </cols>
  <sheetData>
    <row r="1" spans="1:21" ht="38.1" customHeight="1" x14ac:dyDescent="0.15">
      <c r="A1" s="1483" t="s">
        <v>487</v>
      </c>
      <c r="B1" s="1483"/>
      <c r="C1" s="1483"/>
      <c r="D1" s="1483"/>
      <c r="E1" s="1483"/>
      <c r="F1" s="1483"/>
      <c r="G1" s="1483"/>
      <c r="H1" s="1483"/>
      <c r="K1" s="89"/>
    </row>
    <row r="2" spans="1:21" customFormat="1" ht="26.65" customHeight="1" x14ac:dyDescent="0.15">
      <c r="A2" s="1484" t="s">
        <v>488</v>
      </c>
      <c r="B2" s="1485"/>
      <c r="C2" s="1485"/>
      <c r="D2" s="1485"/>
      <c r="E2" s="1485"/>
      <c r="F2" s="15" t="s">
        <v>489</v>
      </c>
      <c r="G2" s="14" t="s">
        <v>490</v>
      </c>
      <c r="H2" s="15" t="s">
        <v>491</v>
      </c>
      <c r="I2" s="15" t="s">
        <v>492</v>
      </c>
      <c r="J2" s="15" t="s">
        <v>493</v>
      </c>
      <c r="K2" s="90"/>
      <c r="L2" s="90"/>
      <c r="M2" s="90"/>
      <c r="N2" s="90"/>
      <c r="O2" s="90"/>
      <c r="P2" s="1484" t="s">
        <v>281</v>
      </c>
      <c r="Q2" s="1485"/>
      <c r="R2" s="1486"/>
      <c r="S2" s="1450" t="s">
        <v>494</v>
      </c>
      <c r="T2" s="1451"/>
      <c r="U2" t="s">
        <v>283</v>
      </c>
    </row>
    <row r="3" spans="1:21" s="1" customFormat="1" ht="29.65" customHeight="1" x14ac:dyDescent="0.15">
      <c r="A3" s="1487" t="s">
        <v>284</v>
      </c>
      <c r="B3" s="1488"/>
      <c r="C3" s="1489">
        <v>44224</v>
      </c>
      <c r="D3" s="1490"/>
      <c r="E3" s="1490"/>
      <c r="F3" s="16" t="s">
        <v>285</v>
      </c>
      <c r="G3" s="16" t="s">
        <v>285</v>
      </c>
      <c r="H3" s="16" t="s">
        <v>285</v>
      </c>
      <c r="I3" s="16" t="s">
        <v>285</v>
      </c>
      <c r="J3" s="16" t="s">
        <v>495</v>
      </c>
      <c r="K3" s="1491" t="s">
        <v>17</v>
      </c>
      <c r="L3" s="1491"/>
      <c r="M3" s="1491"/>
      <c r="N3" s="1491"/>
      <c r="O3" s="1491"/>
      <c r="P3" s="1492" t="s">
        <v>496</v>
      </c>
      <c r="Q3" s="1493"/>
      <c r="R3" s="91" t="s">
        <v>497</v>
      </c>
      <c r="S3" s="92" t="s">
        <v>498</v>
      </c>
      <c r="T3" s="137" t="s">
        <v>290</v>
      </c>
    </row>
    <row r="4" spans="1:21" ht="16.899999999999999" customHeight="1" x14ac:dyDescent="0.15">
      <c r="A4" s="17" t="s">
        <v>291</v>
      </c>
      <c r="B4" s="18"/>
      <c r="C4" s="19"/>
      <c r="D4" s="20"/>
      <c r="E4" s="20"/>
      <c r="F4" s="21"/>
      <c r="G4" s="22"/>
      <c r="H4" s="21"/>
      <c r="I4" s="21"/>
      <c r="J4" s="74"/>
      <c r="K4" s="93"/>
      <c r="L4" s="93"/>
      <c r="M4" s="93"/>
      <c r="N4" s="93"/>
      <c r="O4" s="93"/>
      <c r="P4" s="21"/>
      <c r="Q4" s="19"/>
      <c r="R4" s="94"/>
      <c r="S4" s="95"/>
      <c r="T4" s="138"/>
    </row>
    <row r="5" spans="1:21" s="2" customFormat="1" ht="14.45" customHeight="1" x14ac:dyDescent="0.3">
      <c r="A5" s="1468" t="s">
        <v>292</v>
      </c>
      <c r="B5" s="24" t="s">
        <v>293</v>
      </c>
      <c r="C5" s="1459" t="s">
        <v>499</v>
      </c>
      <c r="D5" s="1459"/>
      <c r="E5" s="1459"/>
      <c r="F5" s="26" t="s">
        <v>499</v>
      </c>
      <c r="G5" s="26" t="s">
        <v>499</v>
      </c>
      <c r="H5" s="26" t="s">
        <v>499</v>
      </c>
      <c r="I5" s="26" t="s">
        <v>499</v>
      </c>
      <c r="J5" s="26" t="s">
        <v>499</v>
      </c>
      <c r="K5" s="96"/>
      <c r="L5" s="96"/>
      <c r="M5" s="96"/>
      <c r="N5" s="96"/>
      <c r="O5" s="96"/>
      <c r="P5" s="1494"/>
      <c r="Q5" s="1459"/>
      <c r="R5" s="1495"/>
      <c r="S5" s="97"/>
      <c r="T5" s="139"/>
    </row>
    <row r="6" spans="1:21" s="2" customFormat="1" ht="14.45" customHeight="1" x14ac:dyDescent="0.3">
      <c r="A6" s="1468"/>
      <c r="B6" s="25" t="s">
        <v>500</v>
      </c>
      <c r="C6" s="1459" t="s">
        <v>501</v>
      </c>
      <c r="D6" s="1459"/>
      <c r="E6" s="1459"/>
      <c r="F6" s="26" t="s">
        <v>501</v>
      </c>
      <c r="G6" s="26" t="s">
        <v>501</v>
      </c>
      <c r="H6" s="26" t="s">
        <v>501</v>
      </c>
      <c r="I6" s="26" t="s">
        <v>501</v>
      </c>
      <c r="J6" s="26" t="s">
        <v>501</v>
      </c>
      <c r="K6" s="96"/>
      <c r="L6" s="96"/>
      <c r="M6" s="96"/>
      <c r="N6" s="96"/>
      <c r="O6" s="96"/>
      <c r="P6" s="1494"/>
      <c r="Q6" s="1459"/>
      <c r="R6" s="1495"/>
      <c r="S6" s="97"/>
      <c r="T6" s="139"/>
    </row>
    <row r="7" spans="1:21" s="2" customFormat="1" ht="14.45" customHeight="1" x14ac:dyDescent="0.3">
      <c r="A7" s="1468"/>
      <c r="B7" s="25" t="s">
        <v>502</v>
      </c>
      <c r="C7" s="1459" t="s">
        <v>503</v>
      </c>
      <c r="D7" s="1459"/>
      <c r="E7" s="1459"/>
      <c r="F7" s="26" t="s">
        <v>503</v>
      </c>
      <c r="G7" s="26" t="s">
        <v>503</v>
      </c>
      <c r="H7" s="26" t="s">
        <v>503</v>
      </c>
      <c r="I7" s="26" t="s">
        <v>503</v>
      </c>
      <c r="J7" s="26" t="s">
        <v>503</v>
      </c>
      <c r="K7" s="96"/>
      <c r="L7" s="96"/>
      <c r="M7" s="96"/>
      <c r="N7" s="96"/>
      <c r="O7" s="96"/>
      <c r="P7" s="1494"/>
      <c r="Q7" s="1459"/>
      <c r="R7" s="1495"/>
      <c r="S7" s="97"/>
      <c r="T7" s="139"/>
    </row>
    <row r="8" spans="1:21" s="2" customFormat="1" ht="54.75" customHeight="1" x14ac:dyDescent="0.3">
      <c r="A8" s="1468" t="s">
        <v>301</v>
      </c>
      <c r="B8" s="25" t="s">
        <v>302</v>
      </c>
      <c r="C8" s="1459" t="s">
        <v>302</v>
      </c>
      <c r="D8" s="1459"/>
      <c r="E8" s="1459"/>
      <c r="F8" s="26" t="s">
        <v>504</v>
      </c>
      <c r="G8" s="26" t="s">
        <v>504</v>
      </c>
      <c r="H8" s="26" t="s">
        <v>504</v>
      </c>
      <c r="I8" s="26" t="s">
        <v>504</v>
      </c>
      <c r="J8" s="26" t="s">
        <v>504</v>
      </c>
      <c r="K8" s="96"/>
      <c r="L8" s="96"/>
      <c r="M8" s="96"/>
      <c r="N8" s="96"/>
      <c r="O8" s="96"/>
      <c r="P8" s="34"/>
      <c r="Q8" s="32"/>
      <c r="R8" s="99" t="s">
        <v>304</v>
      </c>
      <c r="S8" s="97"/>
      <c r="T8" s="139"/>
    </row>
    <row r="9" spans="1:21" s="2" customFormat="1" ht="55.9" customHeight="1" x14ac:dyDescent="0.3">
      <c r="A9" s="1468"/>
      <c r="B9" s="25" t="s">
        <v>302</v>
      </c>
      <c r="C9" s="1459" t="s">
        <v>302</v>
      </c>
      <c r="D9" s="1459"/>
      <c r="E9" s="1459"/>
      <c r="F9" s="26" t="s">
        <v>505</v>
      </c>
      <c r="G9" s="26" t="s">
        <v>505</v>
      </c>
      <c r="H9" s="26" t="s">
        <v>505</v>
      </c>
      <c r="I9" s="26" t="s">
        <v>505</v>
      </c>
      <c r="J9" s="26" t="s">
        <v>506</v>
      </c>
      <c r="K9" s="96"/>
      <c r="L9" s="96"/>
      <c r="M9" s="96"/>
      <c r="N9" s="96"/>
      <c r="O9" s="96"/>
      <c r="P9" s="34"/>
      <c r="Q9" s="32"/>
      <c r="R9" s="99" t="s">
        <v>506</v>
      </c>
      <c r="S9" s="97"/>
      <c r="T9" s="139"/>
    </row>
    <row r="10" spans="1:21" s="2" customFormat="1" ht="42.4" customHeight="1" x14ac:dyDescent="0.3">
      <c r="A10" s="1468"/>
      <c r="B10" s="25" t="s">
        <v>302</v>
      </c>
      <c r="C10" s="1459" t="s">
        <v>302</v>
      </c>
      <c r="D10" s="1459"/>
      <c r="E10" s="1459"/>
      <c r="F10" s="26" t="s">
        <v>507</v>
      </c>
      <c r="G10" s="26" t="s">
        <v>507</v>
      </c>
      <c r="H10" s="26" t="s">
        <v>507</v>
      </c>
      <c r="I10" s="26" t="s">
        <v>507</v>
      </c>
      <c r="J10" s="26" t="s">
        <v>508</v>
      </c>
      <c r="K10" s="96"/>
      <c r="L10" s="96"/>
      <c r="M10" s="96"/>
      <c r="N10" s="96"/>
      <c r="O10" s="96"/>
      <c r="P10" s="34"/>
      <c r="Q10" s="32"/>
      <c r="R10" s="99" t="s">
        <v>509</v>
      </c>
      <c r="S10" s="97"/>
      <c r="T10" s="139"/>
    </row>
    <row r="11" spans="1:21" s="2" customFormat="1" ht="14.45" customHeight="1" x14ac:dyDescent="0.3">
      <c r="A11" s="1468" t="s">
        <v>310</v>
      </c>
      <c r="B11" s="25" t="s">
        <v>311</v>
      </c>
      <c r="C11" s="1459" t="s">
        <v>510</v>
      </c>
      <c r="D11" s="1459"/>
      <c r="E11" s="1459"/>
      <c r="F11" s="26" t="s">
        <v>302</v>
      </c>
      <c r="G11" s="27"/>
      <c r="H11" s="26"/>
      <c r="I11" s="27"/>
      <c r="J11" s="77"/>
      <c r="K11" s="96"/>
      <c r="L11" s="96"/>
      <c r="M11" s="96"/>
      <c r="N11" s="96"/>
      <c r="O11" s="96"/>
      <c r="P11" s="34"/>
      <c r="Q11" s="32"/>
      <c r="R11" s="100">
        <v>43965</v>
      </c>
      <c r="S11" s="97"/>
      <c r="T11" s="139"/>
    </row>
    <row r="12" spans="1:21" s="2" customFormat="1" ht="14.45" customHeight="1" x14ac:dyDescent="0.3">
      <c r="A12" s="1468"/>
      <c r="B12" s="25" t="s">
        <v>312</v>
      </c>
      <c r="C12" s="1459" t="s">
        <v>510</v>
      </c>
      <c r="D12" s="1459"/>
      <c r="E12" s="1459"/>
      <c r="F12" s="26" t="s">
        <v>302</v>
      </c>
      <c r="G12" s="27"/>
      <c r="H12" s="26"/>
      <c r="I12" s="27"/>
      <c r="J12" s="77"/>
      <c r="K12" s="96"/>
      <c r="L12" s="96"/>
      <c r="M12" s="96"/>
      <c r="N12" s="96"/>
      <c r="O12" s="96"/>
      <c r="P12" s="34"/>
      <c r="Q12" s="32"/>
      <c r="R12" s="102">
        <v>44075</v>
      </c>
      <c r="S12" s="97"/>
      <c r="T12" s="139"/>
    </row>
    <row r="13" spans="1:21" s="2" customFormat="1" ht="14.45" customHeight="1" x14ac:dyDescent="0.3">
      <c r="A13" s="1468"/>
      <c r="B13" s="25" t="s">
        <v>313</v>
      </c>
      <c r="C13" s="1460">
        <v>44226</v>
      </c>
      <c r="D13" s="1460"/>
      <c r="E13" s="1460"/>
      <c r="F13" s="26" t="s">
        <v>302</v>
      </c>
      <c r="G13" s="27"/>
      <c r="H13" s="26"/>
      <c r="I13" s="27"/>
      <c r="J13" s="77"/>
      <c r="K13" s="96"/>
      <c r="L13" s="96"/>
      <c r="M13" s="96"/>
      <c r="N13" s="96"/>
      <c r="O13" s="96"/>
      <c r="P13" s="34"/>
      <c r="Q13" s="32"/>
      <c r="R13" s="101">
        <v>44259</v>
      </c>
      <c r="S13" s="97"/>
      <c r="T13" s="139"/>
    </row>
    <row r="14" spans="1:21" s="2" customFormat="1" ht="14.45" customHeight="1" x14ac:dyDescent="0.3">
      <c r="A14" s="1468"/>
      <c r="B14" s="25" t="s">
        <v>314</v>
      </c>
      <c r="C14" s="1460">
        <v>44287</v>
      </c>
      <c r="D14" s="1460"/>
      <c r="E14" s="1460"/>
      <c r="F14" s="26" t="s">
        <v>302</v>
      </c>
      <c r="G14" s="27"/>
      <c r="H14" s="26"/>
      <c r="I14" s="27"/>
      <c r="J14" s="77"/>
      <c r="K14" s="96"/>
      <c r="L14" s="96"/>
      <c r="M14" s="96"/>
      <c r="N14" s="96"/>
      <c r="O14" s="96"/>
      <c r="P14" s="34"/>
      <c r="Q14" s="32"/>
      <c r="R14" s="101">
        <v>44338</v>
      </c>
      <c r="S14" s="97"/>
      <c r="T14" s="139"/>
    </row>
    <row r="15" spans="1:21" s="2" customFormat="1" ht="14.45" customHeight="1" x14ac:dyDescent="0.3">
      <c r="A15" s="1468"/>
      <c r="B15" s="25" t="s">
        <v>315</v>
      </c>
      <c r="C15" s="1460">
        <v>44287</v>
      </c>
      <c r="D15" s="1460"/>
      <c r="E15" s="1460"/>
      <c r="F15" s="26" t="s">
        <v>302</v>
      </c>
      <c r="G15" s="27"/>
      <c r="H15" s="26"/>
      <c r="I15" s="27"/>
      <c r="J15" s="77"/>
      <c r="K15" s="96"/>
      <c r="L15" s="96"/>
      <c r="M15" s="96"/>
      <c r="N15" s="96"/>
      <c r="O15" s="96"/>
      <c r="P15" s="34"/>
      <c r="Q15" s="32"/>
      <c r="R15" s="99"/>
      <c r="S15" s="97"/>
      <c r="T15" s="139"/>
    </row>
    <row r="16" spans="1:21" s="2" customFormat="1" ht="14.45" customHeight="1" x14ac:dyDescent="0.3">
      <c r="A16" s="1468"/>
      <c r="B16" s="25" t="s">
        <v>316</v>
      </c>
      <c r="C16" s="1460">
        <v>44416</v>
      </c>
      <c r="D16" s="1460"/>
      <c r="E16" s="1460"/>
      <c r="F16" s="26" t="s">
        <v>302</v>
      </c>
      <c r="G16" s="27"/>
      <c r="H16" s="26"/>
      <c r="I16" s="27"/>
      <c r="J16" s="77"/>
      <c r="K16" s="96"/>
      <c r="L16" s="96"/>
      <c r="M16" s="96"/>
      <c r="N16" s="96"/>
      <c r="O16" s="96"/>
      <c r="P16" s="34"/>
      <c r="Q16" s="32"/>
      <c r="R16" s="99"/>
      <c r="S16" s="97"/>
      <c r="T16" s="139"/>
    </row>
    <row r="17" spans="1:20" s="2" customFormat="1" ht="14.45" customHeight="1" x14ac:dyDescent="0.3">
      <c r="A17" s="1468"/>
      <c r="B17" s="25" t="s">
        <v>317</v>
      </c>
      <c r="C17" s="1460">
        <v>44501</v>
      </c>
      <c r="D17" s="1460"/>
      <c r="E17" s="1460"/>
      <c r="F17" s="26" t="s">
        <v>302</v>
      </c>
      <c r="G17" s="27"/>
      <c r="H17" s="26"/>
      <c r="I17" s="27"/>
      <c r="J17" s="77"/>
      <c r="K17" s="96"/>
      <c r="L17" s="96"/>
      <c r="M17" s="96"/>
      <c r="N17" s="96"/>
      <c r="O17" s="96"/>
      <c r="P17" s="34"/>
      <c r="Q17" s="32"/>
      <c r="R17" s="101">
        <v>45197</v>
      </c>
      <c r="S17" s="97"/>
      <c r="T17" s="139"/>
    </row>
    <row r="18" spans="1:20" s="2" customFormat="1" ht="14.45" customHeight="1" x14ac:dyDescent="0.3">
      <c r="A18" s="1468"/>
      <c r="B18" s="25" t="s">
        <v>318</v>
      </c>
      <c r="C18" s="1460">
        <v>44501</v>
      </c>
      <c r="D18" s="1460"/>
      <c r="E18" s="1460"/>
      <c r="F18" s="26" t="s">
        <v>302</v>
      </c>
      <c r="G18" s="27"/>
      <c r="H18" s="26"/>
      <c r="I18" s="27"/>
      <c r="J18" s="77"/>
      <c r="K18" s="96"/>
      <c r="L18" s="96"/>
      <c r="M18" s="96"/>
      <c r="N18" s="96"/>
      <c r="O18" s="96"/>
      <c r="P18" s="34"/>
      <c r="Q18" s="32"/>
      <c r="R18" s="99"/>
      <c r="S18" s="97"/>
      <c r="T18" s="139"/>
    </row>
    <row r="19" spans="1:20" s="2" customFormat="1" ht="14.45" customHeight="1" x14ac:dyDescent="0.3">
      <c r="A19" s="1468"/>
      <c r="B19" s="25" t="s">
        <v>319</v>
      </c>
      <c r="C19" s="1460">
        <v>44656</v>
      </c>
      <c r="D19" s="1460"/>
      <c r="E19" s="1460"/>
      <c r="F19" s="26" t="s">
        <v>302</v>
      </c>
      <c r="G19" s="27"/>
      <c r="H19" s="26"/>
      <c r="I19" s="27"/>
      <c r="J19" s="77"/>
      <c r="K19" s="96"/>
      <c r="L19" s="96"/>
      <c r="M19" s="96"/>
      <c r="N19" s="96"/>
      <c r="O19" s="96"/>
      <c r="P19" s="34"/>
      <c r="Q19" s="32"/>
      <c r="R19" s="102">
        <v>45261</v>
      </c>
      <c r="S19" s="97"/>
      <c r="T19" s="139"/>
    </row>
    <row r="20" spans="1:20" s="2" customFormat="1" ht="14.45" customHeight="1" x14ac:dyDescent="0.3">
      <c r="A20" s="1468"/>
      <c r="B20" s="25" t="s">
        <v>320</v>
      </c>
      <c r="C20" s="1460">
        <v>44956</v>
      </c>
      <c r="D20" s="1460"/>
      <c r="E20" s="1460"/>
      <c r="F20" s="26" t="s">
        <v>302</v>
      </c>
      <c r="G20" s="27"/>
      <c r="H20" s="26"/>
      <c r="I20" s="27"/>
      <c r="J20" s="77"/>
      <c r="K20" s="96"/>
      <c r="L20" s="96"/>
      <c r="M20" s="96"/>
      <c r="N20" s="96"/>
      <c r="O20" s="96"/>
      <c r="P20" s="34"/>
      <c r="Q20" s="32"/>
      <c r="R20" s="103">
        <v>45627</v>
      </c>
      <c r="S20" s="97"/>
      <c r="T20" s="139"/>
    </row>
    <row r="21" spans="1:20" s="2" customFormat="1" ht="14.45" customHeight="1" x14ac:dyDescent="0.3">
      <c r="A21" s="1468"/>
      <c r="B21" s="25" t="s">
        <v>321</v>
      </c>
      <c r="C21" s="1460">
        <v>45137</v>
      </c>
      <c r="D21" s="1460"/>
      <c r="E21" s="1460"/>
      <c r="F21" s="26" t="s">
        <v>302</v>
      </c>
      <c r="G21" s="27"/>
      <c r="H21" s="26"/>
      <c r="I21" s="27"/>
      <c r="J21" s="77"/>
      <c r="K21" s="96"/>
      <c r="L21" s="96"/>
      <c r="M21" s="96"/>
      <c r="N21" s="96"/>
      <c r="O21" s="96"/>
      <c r="P21" s="34"/>
      <c r="Q21" s="32"/>
      <c r="R21" s="99"/>
      <c r="S21" s="97"/>
      <c r="T21" s="139"/>
    </row>
    <row r="22" spans="1:20" s="2" customFormat="1" ht="14.45" customHeight="1" x14ac:dyDescent="0.3">
      <c r="A22" s="1468"/>
      <c r="B22" s="25" t="s">
        <v>322</v>
      </c>
      <c r="C22" s="1460">
        <v>45290</v>
      </c>
      <c r="D22" s="1460"/>
      <c r="E22" s="1460"/>
      <c r="F22" s="26" t="s">
        <v>302</v>
      </c>
      <c r="G22" s="27"/>
      <c r="H22" s="26"/>
      <c r="I22" s="27"/>
      <c r="J22" s="77"/>
      <c r="K22" s="96"/>
      <c r="L22" s="96"/>
      <c r="M22" s="96"/>
      <c r="N22" s="96"/>
      <c r="O22" s="96"/>
      <c r="P22" s="34"/>
      <c r="Q22" s="32"/>
      <c r="R22" s="103">
        <v>45961</v>
      </c>
      <c r="S22" s="97"/>
      <c r="T22" s="139"/>
    </row>
    <row r="23" spans="1:20" s="2" customFormat="1" ht="14.45" customHeight="1" x14ac:dyDescent="0.3">
      <c r="A23" s="1468"/>
      <c r="B23" s="25" t="s">
        <v>323</v>
      </c>
      <c r="C23" s="1496">
        <v>35260</v>
      </c>
      <c r="D23" s="1496"/>
      <c r="E23" s="1496"/>
      <c r="F23" s="28">
        <v>35260</v>
      </c>
      <c r="G23" s="27"/>
      <c r="H23" s="26"/>
      <c r="I23" s="27"/>
      <c r="J23" s="77"/>
      <c r="K23" s="96"/>
      <c r="L23" s="96"/>
      <c r="M23" s="96"/>
      <c r="N23" s="96"/>
      <c r="O23" s="96"/>
      <c r="P23" s="34"/>
      <c r="Q23" s="32"/>
      <c r="R23" s="99" t="s">
        <v>511</v>
      </c>
      <c r="S23" s="97"/>
      <c r="T23" s="139"/>
    </row>
    <row r="24" spans="1:20" s="2" customFormat="1" ht="14.45" customHeight="1" x14ac:dyDescent="0.3">
      <c r="A24" s="1468"/>
      <c r="B24" s="25" t="s">
        <v>326</v>
      </c>
      <c r="C24" s="1459" t="s">
        <v>512</v>
      </c>
      <c r="D24" s="1459"/>
      <c r="E24" s="1459"/>
      <c r="F24" s="26"/>
      <c r="G24" s="27"/>
      <c r="H24" s="26"/>
      <c r="I24" s="27"/>
      <c r="J24" s="77"/>
      <c r="K24" s="96"/>
      <c r="L24" s="96"/>
      <c r="M24" s="96"/>
      <c r="N24" s="96"/>
      <c r="O24" s="96"/>
      <c r="P24" s="34"/>
      <c r="Q24" s="32"/>
      <c r="R24" s="99" t="s">
        <v>512</v>
      </c>
      <c r="S24" s="97"/>
      <c r="T24" s="139"/>
    </row>
    <row r="25" spans="1:20" s="2" customFormat="1" ht="14.45" customHeight="1" x14ac:dyDescent="0.3">
      <c r="A25" s="1468"/>
      <c r="B25" s="25" t="s">
        <v>327</v>
      </c>
      <c r="C25" s="1459">
        <v>3.5</v>
      </c>
      <c r="D25" s="1459"/>
      <c r="E25" s="1459"/>
      <c r="F25" s="26" t="s">
        <v>513</v>
      </c>
      <c r="G25" s="27"/>
      <c r="H25" s="26"/>
      <c r="I25" s="27"/>
      <c r="J25" s="77"/>
      <c r="K25" s="96"/>
      <c r="L25" s="96"/>
      <c r="M25" s="96"/>
      <c r="N25" s="96"/>
      <c r="O25" s="96"/>
      <c r="P25" s="34"/>
      <c r="Q25" s="32"/>
      <c r="R25" s="99">
        <v>3.5</v>
      </c>
      <c r="S25" s="97"/>
      <c r="T25" s="139"/>
    </row>
    <row r="26" spans="1:20" s="2" customFormat="1" ht="14.45" customHeight="1" x14ac:dyDescent="0.3">
      <c r="A26" s="1468"/>
      <c r="B26" s="25" t="s">
        <v>328</v>
      </c>
      <c r="C26" s="1459">
        <v>171413</v>
      </c>
      <c r="D26" s="1459"/>
      <c r="E26" s="1459"/>
      <c r="F26" s="26" t="s">
        <v>302</v>
      </c>
      <c r="G26" s="27"/>
      <c r="H26" s="26"/>
      <c r="I26" s="27"/>
      <c r="J26" s="77"/>
      <c r="K26" s="96"/>
      <c r="L26" s="96"/>
      <c r="M26" s="96"/>
      <c r="N26" s="96"/>
      <c r="O26" s="96"/>
      <c r="P26" s="34"/>
      <c r="Q26" s="32"/>
      <c r="R26" s="106">
        <v>171255.7</v>
      </c>
      <c r="S26" s="97"/>
      <c r="T26" s="139"/>
    </row>
    <row r="27" spans="1:20" s="2" customFormat="1" ht="14.45" customHeight="1" outlineLevel="1" x14ac:dyDescent="0.3">
      <c r="A27" s="1468"/>
      <c r="B27" s="25" t="s">
        <v>329</v>
      </c>
      <c r="C27" s="1459">
        <v>22567</v>
      </c>
      <c r="D27" s="1459"/>
      <c r="E27" s="1459"/>
      <c r="F27" s="26" t="s">
        <v>302</v>
      </c>
      <c r="G27" s="27"/>
      <c r="H27" s="26"/>
      <c r="I27" s="27"/>
      <c r="J27" s="77"/>
      <c r="K27" s="96"/>
      <c r="L27" s="96"/>
      <c r="M27" s="96"/>
      <c r="N27" s="96"/>
      <c r="O27" s="96"/>
      <c r="P27" s="34"/>
      <c r="Q27" s="32"/>
      <c r="R27" s="99"/>
      <c r="S27" s="97"/>
      <c r="T27" s="139"/>
    </row>
    <row r="28" spans="1:20" s="2" customFormat="1" ht="14.45" customHeight="1" outlineLevel="1" x14ac:dyDescent="0.3">
      <c r="A28" s="1468"/>
      <c r="B28" s="25" t="s">
        <v>330</v>
      </c>
      <c r="C28" s="1459">
        <v>123410</v>
      </c>
      <c r="D28" s="1459"/>
      <c r="E28" s="1459"/>
      <c r="F28" s="26" t="s">
        <v>302</v>
      </c>
      <c r="G28" s="27"/>
      <c r="H28" s="26"/>
      <c r="I28" s="27"/>
      <c r="J28" s="77"/>
      <c r="K28" s="96"/>
      <c r="L28" s="96"/>
      <c r="M28" s="96"/>
      <c r="N28" s="96"/>
      <c r="O28" s="96"/>
      <c r="P28" s="34"/>
      <c r="Q28" s="32"/>
      <c r="R28" s="99"/>
      <c r="S28" s="97"/>
      <c r="T28" s="139"/>
    </row>
    <row r="29" spans="1:20" s="2" customFormat="1" ht="14.45" customHeight="1" outlineLevel="1" x14ac:dyDescent="0.3">
      <c r="A29" s="1468"/>
      <c r="B29" s="25" t="s">
        <v>333</v>
      </c>
      <c r="C29" s="1459">
        <v>16279</v>
      </c>
      <c r="D29" s="1459"/>
      <c r="E29" s="1459"/>
      <c r="F29" s="26" t="s">
        <v>302</v>
      </c>
      <c r="G29" s="27"/>
      <c r="H29" s="26"/>
      <c r="I29" s="27"/>
      <c r="J29" s="77"/>
      <c r="K29" s="96"/>
      <c r="L29" s="96"/>
      <c r="M29" s="96"/>
      <c r="N29" s="96"/>
      <c r="O29" s="96"/>
      <c r="P29" s="34"/>
      <c r="Q29" s="32"/>
      <c r="R29" s="99"/>
      <c r="S29" s="97"/>
      <c r="T29" s="139"/>
    </row>
    <row r="30" spans="1:20" s="2" customFormat="1" ht="14.45" customHeight="1" x14ac:dyDescent="0.3">
      <c r="A30" s="1468"/>
      <c r="B30" s="25" t="s">
        <v>335</v>
      </c>
      <c r="C30" s="1459" t="s">
        <v>514</v>
      </c>
      <c r="D30" s="1459"/>
      <c r="E30" s="1459"/>
      <c r="F30" s="26" t="s">
        <v>302</v>
      </c>
      <c r="G30" s="27"/>
      <c r="H30" s="26"/>
      <c r="I30" s="27"/>
      <c r="J30" s="77"/>
      <c r="K30" s="96"/>
      <c r="L30" s="96"/>
      <c r="M30" s="96"/>
      <c r="N30" s="96"/>
      <c r="O30" s="96"/>
      <c r="P30" s="34"/>
      <c r="Q30" s="32"/>
      <c r="R30" s="99">
        <v>4554.4799999999996</v>
      </c>
      <c r="S30" s="97"/>
      <c r="T30" s="139"/>
    </row>
    <row r="31" spans="1:20" s="2" customFormat="1" ht="14.45" customHeight="1" x14ac:dyDescent="0.3">
      <c r="A31" s="1468"/>
      <c r="B31" s="25" t="s">
        <v>337</v>
      </c>
      <c r="C31" s="1459" t="s">
        <v>515</v>
      </c>
      <c r="D31" s="1459"/>
      <c r="E31" s="1459"/>
      <c r="F31" s="26" t="s">
        <v>302</v>
      </c>
      <c r="G31" s="27"/>
      <c r="H31" s="26"/>
      <c r="I31" s="27"/>
      <c r="J31" s="77"/>
      <c r="K31" s="96"/>
      <c r="L31" s="96"/>
      <c r="M31" s="96"/>
      <c r="N31" s="96"/>
      <c r="O31" s="96"/>
      <c r="P31" s="34"/>
      <c r="Q31" s="32"/>
      <c r="R31" s="99"/>
      <c r="S31" s="97"/>
      <c r="T31" s="139"/>
    </row>
    <row r="32" spans="1:20" s="2" customFormat="1" ht="14.45" customHeight="1" x14ac:dyDescent="0.3">
      <c r="A32" s="1468"/>
      <c r="B32" s="25" t="s">
        <v>339</v>
      </c>
      <c r="C32" s="1459"/>
      <c r="D32" s="1459"/>
      <c r="E32" s="1459"/>
      <c r="F32" s="26" t="s">
        <v>302</v>
      </c>
      <c r="G32" s="27"/>
      <c r="H32" s="26"/>
      <c r="I32" s="27"/>
      <c r="J32" s="77"/>
      <c r="K32" s="96"/>
      <c r="L32" s="96"/>
      <c r="M32" s="96"/>
      <c r="N32" s="96"/>
      <c r="O32" s="96"/>
      <c r="P32" s="34"/>
      <c r="Q32" s="32"/>
      <c r="R32" s="99"/>
      <c r="S32" s="97"/>
      <c r="T32" s="139"/>
    </row>
    <row r="33" spans="1:20" s="2" customFormat="1" ht="14.45" customHeight="1" x14ac:dyDescent="0.3">
      <c r="A33" s="1468"/>
      <c r="B33" s="25" t="s">
        <v>340</v>
      </c>
      <c r="C33" s="1459" t="s">
        <v>516</v>
      </c>
      <c r="D33" s="1459"/>
      <c r="E33" s="1459"/>
      <c r="F33" s="26" t="s">
        <v>302</v>
      </c>
      <c r="G33" s="27"/>
      <c r="H33" s="26"/>
      <c r="I33" s="27"/>
      <c r="J33" s="77"/>
      <c r="K33" s="96"/>
      <c r="L33" s="96"/>
      <c r="M33" s="96"/>
      <c r="N33" s="96"/>
      <c r="O33" s="96"/>
      <c r="P33" s="34"/>
      <c r="Q33" s="32"/>
      <c r="R33" s="99" t="s">
        <v>517</v>
      </c>
      <c r="S33" s="97"/>
      <c r="T33" s="139"/>
    </row>
    <row r="34" spans="1:20" s="2" customFormat="1" ht="14.45" customHeight="1" x14ac:dyDescent="0.3">
      <c r="A34" s="1468" t="s">
        <v>342</v>
      </c>
      <c r="B34" s="25" t="s">
        <v>343</v>
      </c>
      <c r="C34" s="1459" t="s">
        <v>518</v>
      </c>
      <c r="D34" s="1459"/>
      <c r="E34" s="1459"/>
      <c r="F34" s="26" t="s">
        <v>519</v>
      </c>
      <c r="G34" s="27"/>
      <c r="H34" s="26"/>
      <c r="I34" s="27"/>
      <c r="J34" s="77"/>
      <c r="K34" s="96"/>
      <c r="L34" s="96"/>
      <c r="M34" s="96"/>
      <c r="N34" s="96"/>
      <c r="O34" s="96"/>
      <c r="P34" s="34"/>
      <c r="Q34" s="32"/>
      <c r="R34" s="107" t="s">
        <v>520</v>
      </c>
      <c r="S34" s="97"/>
      <c r="T34" s="139"/>
    </row>
    <row r="35" spans="1:20" s="2" customFormat="1" ht="35.65" customHeight="1" x14ac:dyDescent="0.3">
      <c r="A35" s="1468"/>
      <c r="B35" s="25" t="s">
        <v>345</v>
      </c>
      <c r="C35" s="1459">
        <v>8750</v>
      </c>
      <c r="D35" s="1459"/>
      <c r="E35" s="1459"/>
      <c r="F35" s="28">
        <v>8750</v>
      </c>
      <c r="G35" s="27"/>
      <c r="H35" s="26" t="s">
        <v>521</v>
      </c>
      <c r="I35" s="27"/>
      <c r="J35" s="77"/>
      <c r="K35" s="96"/>
      <c r="L35" s="96"/>
      <c r="M35" s="96"/>
      <c r="N35" s="96"/>
      <c r="O35" s="96"/>
      <c r="P35" s="34"/>
      <c r="Q35" s="32"/>
      <c r="R35" s="99">
        <v>9141</v>
      </c>
      <c r="S35" s="97"/>
      <c r="T35" s="139"/>
    </row>
    <row r="36" spans="1:20" s="2" customFormat="1" ht="38.25" customHeight="1" x14ac:dyDescent="0.3">
      <c r="A36" s="1468"/>
      <c r="B36" s="1459" t="s">
        <v>348</v>
      </c>
      <c r="C36" s="1459" t="s">
        <v>70</v>
      </c>
      <c r="D36" s="1459"/>
      <c r="E36" s="1459"/>
      <c r="F36" s="26" t="s">
        <v>522</v>
      </c>
      <c r="G36" s="27"/>
      <c r="H36" s="26"/>
      <c r="I36" s="27"/>
      <c r="J36" s="77"/>
      <c r="K36" s="96"/>
      <c r="L36" s="96"/>
      <c r="M36" s="96"/>
      <c r="N36" s="96"/>
      <c r="O36" s="96"/>
      <c r="P36" s="34"/>
      <c r="Q36" s="32"/>
      <c r="R36" s="107" t="s">
        <v>523</v>
      </c>
      <c r="S36" s="97"/>
      <c r="T36" s="139"/>
    </row>
    <row r="37" spans="1:20" s="2" customFormat="1" ht="91.9" customHeight="1" x14ac:dyDescent="0.3">
      <c r="A37" s="1468"/>
      <c r="B37" s="1459"/>
      <c r="C37" s="1459" t="s">
        <v>350</v>
      </c>
      <c r="D37" s="1459"/>
      <c r="E37" s="1459"/>
      <c r="F37" s="26" t="s">
        <v>524</v>
      </c>
      <c r="G37" s="27"/>
      <c r="H37" s="26"/>
      <c r="I37" s="26"/>
      <c r="J37" s="77"/>
      <c r="K37" s="96"/>
      <c r="L37" s="96"/>
      <c r="M37" s="96"/>
      <c r="N37" s="96"/>
      <c r="O37" s="96"/>
      <c r="P37" s="34"/>
      <c r="Q37" s="32"/>
      <c r="R37" s="99" t="s">
        <v>68</v>
      </c>
      <c r="S37" s="97"/>
      <c r="T37" s="139"/>
    </row>
    <row r="38" spans="1:20" s="2" customFormat="1" ht="24.4" customHeight="1" x14ac:dyDescent="0.3">
      <c r="A38" s="1468"/>
      <c r="B38" s="1459"/>
      <c r="C38" s="1459" t="s">
        <v>352</v>
      </c>
      <c r="D38" s="1459"/>
      <c r="E38" s="1459"/>
      <c r="F38" s="29" t="s">
        <v>397</v>
      </c>
      <c r="G38" s="27"/>
      <c r="H38" s="26"/>
      <c r="I38" s="27"/>
      <c r="J38" s="77"/>
      <c r="K38" s="96"/>
      <c r="L38" s="96"/>
      <c r="M38" s="96"/>
      <c r="N38" s="96"/>
      <c r="O38" s="96"/>
      <c r="P38" s="34"/>
      <c r="Q38" s="32"/>
      <c r="R38" s="99" t="s">
        <v>525</v>
      </c>
      <c r="S38" s="97"/>
      <c r="T38" s="139"/>
    </row>
    <row r="39" spans="1:20" s="2" customFormat="1" ht="41.65" customHeight="1" x14ac:dyDescent="0.3">
      <c r="A39" s="1468"/>
      <c r="B39" s="25" t="s">
        <v>354</v>
      </c>
      <c r="C39" s="1459" t="s">
        <v>526</v>
      </c>
      <c r="D39" s="1459"/>
      <c r="E39" s="1459"/>
      <c r="F39" s="26" t="s">
        <v>527</v>
      </c>
      <c r="G39" s="27"/>
      <c r="H39" s="26" t="s">
        <v>528</v>
      </c>
      <c r="I39" s="27"/>
      <c r="J39" s="77"/>
      <c r="K39" s="96"/>
      <c r="L39" s="96"/>
      <c r="M39" s="96"/>
      <c r="N39" s="96"/>
      <c r="O39" s="96"/>
      <c r="P39" s="34"/>
      <c r="Q39" s="32"/>
      <c r="R39" s="99" t="s">
        <v>529</v>
      </c>
      <c r="S39" s="97"/>
      <c r="T39" s="139"/>
    </row>
    <row r="40" spans="1:20" s="2" customFormat="1" ht="69.400000000000006" customHeight="1" x14ac:dyDescent="0.3">
      <c r="A40" s="23" t="s">
        <v>358</v>
      </c>
      <c r="B40" s="25"/>
      <c r="C40" s="1459"/>
      <c r="D40" s="1459"/>
      <c r="E40" s="1459"/>
      <c r="F40" s="26" t="s">
        <v>530</v>
      </c>
      <c r="G40" s="27"/>
      <c r="H40" s="26" t="s">
        <v>531</v>
      </c>
      <c r="I40" s="26" t="s">
        <v>532</v>
      </c>
      <c r="J40" s="77"/>
      <c r="K40" s="96"/>
      <c r="L40" s="96"/>
      <c r="M40" s="96"/>
      <c r="N40" s="96"/>
      <c r="O40" s="96"/>
      <c r="P40" s="34"/>
      <c r="Q40" s="32"/>
      <c r="R40" s="99"/>
      <c r="S40" s="97"/>
      <c r="T40" s="139"/>
    </row>
    <row r="41" spans="1:20" s="2" customFormat="1" ht="82.5" customHeight="1" x14ac:dyDescent="0.3">
      <c r="A41" s="23" t="s">
        <v>533</v>
      </c>
      <c r="B41" s="25"/>
      <c r="C41" s="1459"/>
      <c r="D41" s="1459"/>
      <c r="E41" s="1459"/>
      <c r="F41" s="26" t="s">
        <v>534</v>
      </c>
      <c r="G41" s="27"/>
      <c r="H41" s="26"/>
      <c r="I41" s="26"/>
      <c r="J41" s="77"/>
      <c r="K41" s="96"/>
      <c r="L41" s="96"/>
      <c r="M41" s="96"/>
      <c r="N41" s="96"/>
      <c r="O41" s="96"/>
      <c r="P41" s="34"/>
      <c r="Q41" s="32"/>
      <c r="R41" s="99"/>
      <c r="S41" s="97"/>
      <c r="T41" s="139"/>
    </row>
    <row r="42" spans="1:20" s="2" customFormat="1" ht="273.95" customHeight="1" x14ac:dyDescent="0.3">
      <c r="A42" s="23" t="s">
        <v>364</v>
      </c>
      <c r="B42" s="25"/>
      <c r="C42" s="25"/>
      <c r="D42" s="25"/>
      <c r="E42" s="25"/>
      <c r="F42" s="26" t="s">
        <v>535</v>
      </c>
      <c r="G42" s="27"/>
      <c r="H42" s="26" t="s">
        <v>536</v>
      </c>
      <c r="I42" s="27"/>
      <c r="J42" s="77"/>
      <c r="K42" s="96"/>
      <c r="L42" s="96"/>
      <c r="M42" s="96"/>
      <c r="N42" s="96"/>
      <c r="O42" s="96"/>
      <c r="P42" s="34"/>
      <c r="Q42" s="32"/>
      <c r="R42" s="99" t="s">
        <v>537</v>
      </c>
      <c r="S42" s="97"/>
      <c r="T42" s="139"/>
    </row>
    <row r="43" spans="1:20" s="2" customFormat="1" ht="87" customHeight="1" x14ac:dyDescent="0.3">
      <c r="A43" s="1468" t="s">
        <v>366</v>
      </c>
      <c r="B43" s="31" t="s">
        <v>367</v>
      </c>
      <c r="C43" s="32"/>
      <c r="D43" s="32"/>
      <c r="E43" s="32"/>
      <c r="F43" s="33" t="s">
        <v>538</v>
      </c>
      <c r="G43" s="27"/>
      <c r="H43" s="26"/>
      <c r="I43" s="27"/>
      <c r="J43" s="77"/>
      <c r="K43" s="96"/>
      <c r="L43" s="96"/>
      <c r="M43" s="96"/>
      <c r="N43" s="96"/>
      <c r="O43" s="96"/>
      <c r="P43" s="34"/>
      <c r="Q43" s="32"/>
      <c r="R43" s="99" t="s">
        <v>539</v>
      </c>
      <c r="S43" s="97"/>
      <c r="T43" s="139"/>
    </row>
    <row r="44" spans="1:20" s="2" customFormat="1" ht="38.1" customHeight="1" x14ac:dyDescent="0.3">
      <c r="A44" s="1468"/>
      <c r="B44" s="31" t="s">
        <v>369</v>
      </c>
      <c r="C44" s="25"/>
      <c r="D44" s="25"/>
      <c r="E44" s="25"/>
      <c r="F44" s="33" t="s">
        <v>370</v>
      </c>
      <c r="G44" s="27"/>
      <c r="H44" s="26"/>
      <c r="I44" s="27"/>
      <c r="J44" s="77"/>
      <c r="K44" s="96"/>
      <c r="L44" s="96"/>
      <c r="M44" s="96"/>
      <c r="N44" s="96"/>
      <c r="O44" s="96"/>
      <c r="P44" s="34"/>
      <c r="Q44" s="32"/>
      <c r="R44" s="99" t="s">
        <v>539</v>
      </c>
      <c r="S44" s="97"/>
      <c r="T44" s="139"/>
    </row>
    <row r="45" spans="1:20" s="2" customFormat="1" ht="38.1" customHeight="1" x14ac:dyDescent="0.3">
      <c r="A45" s="1468"/>
      <c r="B45" s="31" t="s">
        <v>371</v>
      </c>
      <c r="C45" s="25"/>
      <c r="D45" s="25"/>
      <c r="E45" s="25"/>
      <c r="F45" s="33" t="s">
        <v>371</v>
      </c>
      <c r="G45" s="27"/>
      <c r="H45" s="26"/>
      <c r="I45" s="27"/>
      <c r="J45" s="77"/>
      <c r="K45" s="96"/>
      <c r="L45" s="96"/>
      <c r="M45" s="96"/>
      <c r="N45" s="96"/>
      <c r="O45" s="96"/>
      <c r="P45" s="34"/>
      <c r="Q45" s="32"/>
      <c r="R45" s="99" t="s">
        <v>539</v>
      </c>
      <c r="S45" s="97"/>
      <c r="T45" s="139"/>
    </row>
    <row r="46" spans="1:20" s="2" customFormat="1" ht="89.65" customHeight="1" x14ac:dyDescent="0.3">
      <c r="A46" s="23" t="s">
        <v>540</v>
      </c>
      <c r="B46" s="31"/>
      <c r="C46" s="25"/>
      <c r="D46" s="25"/>
      <c r="E46" s="25"/>
      <c r="F46" s="33"/>
      <c r="G46" s="27"/>
      <c r="H46" s="26"/>
      <c r="I46" s="27"/>
      <c r="J46" s="77"/>
      <c r="K46" s="96"/>
      <c r="L46" s="96"/>
      <c r="M46" s="96"/>
      <c r="N46" s="96"/>
      <c r="O46" s="96"/>
      <c r="P46" s="34"/>
      <c r="Q46" s="32"/>
      <c r="R46" s="99" t="s">
        <v>541</v>
      </c>
      <c r="S46" s="97"/>
      <c r="T46" s="139"/>
    </row>
    <row r="47" spans="1:20" s="2" customFormat="1" ht="88.5" customHeight="1" x14ac:dyDescent="0.3">
      <c r="A47" s="23" t="s">
        <v>542</v>
      </c>
      <c r="B47" s="31"/>
      <c r="C47" s="25"/>
      <c r="D47" s="25"/>
      <c r="E47" s="25"/>
      <c r="F47" s="33"/>
      <c r="G47" s="27"/>
      <c r="H47" s="26"/>
      <c r="I47" s="27"/>
      <c r="J47" s="77"/>
      <c r="K47" s="96"/>
      <c r="L47" s="96"/>
      <c r="M47" s="96"/>
      <c r="N47" s="96"/>
      <c r="O47" s="96"/>
      <c r="P47" s="34"/>
      <c r="Q47" s="32"/>
      <c r="R47" s="99" t="s">
        <v>543</v>
      </c>
      <c r="S47" s="97"/>
      <c r="T47" s="139"/>
    </row>
    <row r="48" spans="1:20" s="2" customFormat="1" ht="38.1" customHeight="1" x14ac:dyDescent="0.3">
      <c r="A48" s="23" t="s">
        <v>544</v>
      </c>
      <c r="B48" s="31"/>
      <c r="C48" s="25"/>
      <c r="D48" s="25"/>
      <c r="E48" s="25"/>
      <c r="F48" s="33"/>
      <c r="G48" s="27"/>
      <c r="H48" s="26"/>
      <c r="I48" s="27"/>
      <c r="J48" s="77"/>
      <c r="K48" s="96"/>
      <c r="L48" s="96"/>
      <c r="M48" s="96"/>
      <c r="N48" s="96"/>
      <c r="O48" s="96"/>
      <c r="P48" s="34"/>
      <c r="Q48" s="32"/>
      <c r="R48" s="99" t="s">
        <v>545</v>
      </c>
      <c r="S48" s="97"/>
      <c r="T48" s="139"/>
    </row>
    <row r="49" spans="1:20" s="2" customFormat="1" ht="38.1" customHeight="1" x14ac:dyDescent="0.3">
      <c r="A49" s="23" t="s">
        <v>546</v>
      </c>
      <c r="B49" s="31"/>
      <c r="C49" s="25"/>
      <c r="D49" s="25"/>
      <c r="E49" s="25"/>
      <c r="F49" s="33"/>
      <c r="G49" s="27"/>
      <c r="H49" s="26"/>
      <c r="I49" s="27"/>
      <c r="J49" s="77"/>
      <c r="K49" s="96"/>
      <c r="L49" s="96"/>
      <c r="M49" s="96"/>
      <c r="N49" s="96"/>
      <c r="O49" s="96"/>
      <c r="P49" s="34"/>
      <c r="Q49" s="32"/>
      <c r="R49" s="99" t="s">
        <v>547</v>
      </c>
      <c r="S49" s="97"/>
      <c r="T49" s="139"/>
    </row>
    <row r="50" spans="1:20" ht="13.5" x14ac:dyDescent="0.15">
      <c r="A50" s="17" t="s">
        <v>376</v>
      </c>
      <c r="B50" s="18"/>
      <c r="C50" s="19"/>
      <c r="D50" s="20"/>
      <c r="E50" s="20"/>
      <c r="F50" s="21"/>
      <c r="G50" s="22"/>
      <c r="H50" s="22"/>
      <c r="I50" s="22"/>
      <c r="J50" s="22"/>
      <c r="K50" s="108"/>
      <c r="L50" s="108"/>
      <c r="M50" s="108"/>
      <c r="N50" s="108"/>
      <c r="O50" s="108"/>
      <c r="P50" s="109"/>
      <c r="Q50" s="19"/>
      <c r="R50" s="94"/>
      <c r="S50" s="111"/>
      <c r="T50" s="140"/>
    </row>
    <row r="51" spans="1:20" ht="13.5" x14ac:dyDescent="0.15">
      <c r="A51" s="1499" t="s">
        <v>15</v>
      </c>
      <c r="B51" s="1500"/>
      <c r="C51" s="242" t="s">
        <v>22</v>
      </c>
      <c r="D51" s="243" t="s">
        <v>37</v>
      </c>
      <c r="E51" s="243" t="s">
        <v>377</v>
      </c>
      <c r="F51" s="244"/>
      <c r="G51" s="245"/>
      <c r="H51" s="245"/>
      <c r="I51" s="245"/>
      <c r="J51" s="245"/>
      <c r="K51" s="246" t="s">
        <v>43</v>
      </c>
      <c r="L51" s="246" t="s">
        <v>548</v>
      </c>
      <c r="M51" s="246" t="s">
        <v>549</v>
      </c>
      <c r="N51" s="246" t="s">
        <v>550</v>
      </c>
      <c r="O51" s="246"/>
      <c r="P51" s="247" t="s">
        <v>22</v>
      </c>
      <c r="Q51" s="242" t="s">
        <v>39</v>
      </c>
      <c r="R51" s="249"/>
      <c r="S51" s="241"/>
      <c r="T51" s="250"/>
    </row>
    <row r="52" spans="1:20" x14ac:dyDescent="0.15">
      <c r="A52" s="40" t="s">
        <v>40</v>
      </c>
      <c r="B52" s="41" t="s">
        <v>379</v>
      </c>
      <c r="C52" s="48">
        <f>C53+C54+C55+C56</f>
        <v>284812</v>
      </c>
      <c r="D52" s="43">
        <f>C52/C$26*10000</f>
        <v>16615.542578450899</v>
      </c>
      <c r="E52" s="49"/>
      <c r="F52" s="26"/>
      <c r="G52" s="50"/>
      <c r="H52" s="51"/>
      <c r="I52" s="50"/>
      <c r="J52" s="83"/>
      <c r="K52" s="48">
        <v>0</v>
      </c>
      <c r="L52" s="48"/>
      <c r="M52" s="48"/>
      <c r="N52" s="48"/>
      <c r="O52" s="48"/>
      <c r="P52" s="121">
        <f t="shared" ref="P52:P60" si="0">P142</f>
        <v>250852.52600000001</v>
      </c>
      <c r="Q52" s="48">
        <f t="shared" ref="Q52:Q81" si="1">P52/$C$26*10000</f>
        <v>14634.393307392089</v>
      </c>
      <c r="R52" s="123"/>
      <c r="T52" s="144"/>
    </row>
    <row r="53" spans="1:20" x14ac:dyDescent="0.15">
      <c r="A53" s="47">
        <v>1</v>
      </c>
      <c r="B53" s="7" t="s">
        <v>60</v>
      </c>
      <c r="C53" s="48">
        <v>207899</v>
      </c>
      <c r="D53" s="43" t="s">
        <v>302</v>
      </c>
      <c r="E53" s="49">
        <v>0.82699999999999996</v>
      </c>
      <c r="F53" s="26"/>
      <c r="G53" s="50"/>
      <c r="H53" s="51"/>
      <c r="I53" s="50"/>
      <c r="J53" s="83"/>
      <c r="K53" s="48">
        <v>0</v>
      </c>
      <c r="L53" s="48"/>
      <c r="M53" s="48"/>
      <c r="N53" s="48"/>
      <c r="O53" s="48"/>
      <c r="P53" s="121">
        <f t="shared" si="0"/>
        <v>210184.166</v>
      </c>
      <c r="Q53" s="48">
        <f t="shared" si="1"/>
        <v>12261.856801992848</v>
      </c>
      <c r="R53" s="123" t="str">
        <f t="shared" ref="R53:R60" si="2">R143</f>
        <v>按住宅均价2.3万元测算</v>
      </c>
      <c r="T53" s="144"/>
    </row>
    <row r="54" spans="1:20" x14ac:dyDescent="0.15">
      <c r="A54" s="47">
        <v>2</v>
      </c>
      <c r="B54" s="7" t="s">
        <v>65</v>
      </c>
      <c r="C54" s="48">
        <v>21380</v>
      </c>
      <c r="D54" s="43" t="s">
        <v>302</v>
      </c>
      <c r="E54" s="49">
        <v>8.5000000000000006E-2</v>
      </c>
      <c r="F54" s="26"/>
      <c r="G54" s="50"/>
      <c r="H54" s="51"/>
      <c r="I54" s="50"/>
      <c r="J54" s="83"/>
      <c r="K54" s="48">
        <v>0</v>
      </c>
      <c r="L54" s="48"/>
      <c r="M54" s="48"/>
      <c r="N54" s="48"/>
      <c r="O54" s="48"/>
      <c r="P54" s="121">
        <f t="shared" si="0"/>
        <v>16308.36</v>
      </c>
      <c r="Q54" s="48">
        <f t="shared" si="1"/>
        <v>951.40741950727192</v>
      </c>
      <c r="R54" s="123" t="str">
        <f t="shared" si="2"/>
        <v>按商铺均价4.5万元测算</v>
      </c>
      <c r="T54" s="144"/>
    </row>
    <row r="55" spans="1:20" x14ac:dyDescent="0.15">
      <c r="A55" s="47">
        <v>3</v>
      </c>
      <c r="B55" s="7" t="s">
        <v>71</v>
      </c>
      <c r="C55" s="48">
        <v>22212</v>
      </c>
      <c r="D55" s="43" t="s">
        <v>302</v>
      </c>
      <c r="E55" s="49">
        <v>8.7999999999999995E-2</v>
      </c>
      <c r="F55" s="26"/>
      <c r="G55" s="50"/>
      <c r="H55" s="51"/>
      <c r="I55" s="50"/>
      <c r="J55" s="83"/>
      <c r="K55" s="48">
        <v>0</v>
      </c>
      <c r="L55" s="48"/>
      <c r="M55" s="48"/>
      <c r="N55" s="48"/>
      <c r="O55" s="48"/>
      <c r="P55" s="121">
        <f t="shared" si="0"/>
        <v>24360</v>
      </c>
      <c r="Q55" s="48">
        <f t="shared" si="1"/>
        <v>1421.1290858919683</v>
      </c>
      <c r="R55" s="123" t="str">
        <f t="shared" si="2"/>
        <v>按车位20万元/个测算</v>
      </c>
      <c r="T55" s="144"/>
    </row>
    <row r="56" spans="1:20" x14ac:dyDescent="0.15">
      <c r="A56" s="47">
        <v>4</v>
      </c>
      <c r="B56" s="7" t="s">
        <v>383</v>
      </c>
      <c r="C56" s="48">
        <v>33321</v>
      </c>
      <c r="D56" s="43" t="s">
        <v>302</v>
      </c>
      <c r="E56" s="49"/>
      <c r="F56" s="26"/>
      <c r="G56" s="50"/>
      <c r="H56" s="51"/>
      <c r="I56" s="50"/>
      <c r="J56" s="83"/>
      <c r="K56" s="48">
        <v>0</v>
      </c>
      <c r="L56" s="48"/>
      <c r="M56" s="48"/>
      <c r="N56" s="48"/>
      <c r="O56" s="48"/>
      <c r="P56" s="248">
        <f t="shared" si="0"/>
        <v>0</v>
      </c>
      <c r="Q56" s="48">
        <f t="shared" si="1"/>
        <v>0</v>
      </c>
      <c r="R56" s="123" t="str">
        <f t="shared" si="2"/>
        <v>拆迁赔偿物业不算可售货值</v>
      </c>
      <c r="T56" s="144"/>
    </row>
    <row r="57" spans="1:20" x14ac:dyDescent="0.15">
      <c r="A57" s="40" t="s">
        <v>45</v>
      </c>
      <c r="B57" s="52" t="s">
        <v>130</v>
      </c>
      <c r="C57" s="53">
        <v>57229</v>
      </c>
      <c r="D57" s="43">
        <f t="shared" ref="D57:D81" si="3">C57/C$26*10000</f>
        <v>3338.6615950948899</v>
      </c>
      <c r="E57" s="49"/>
      <c r="F57" s="26"/>
      <c r="G57" s="50"/>
      <c r="H57" s="51"/>
      <c r="I57" s="50"/>
      <c r="J57" s="83"/>
      <c r="K57" s="48">
        <f>[2]俊发202302科目余额表!N224/10000</f>
        <v>54476.7</v>
      </c>
      <c r="L57" s="48">
        <f>L58+L59</f>
        <v>54476.7</v>
      </c>
      <c r="M57" s="48">
        <f>M58+M59</f>
        <v>0</v>
      </c>
      <c r="N57" s="48"/>
      <c r="O57" s="48" t="s">
        <v>551</v>
      </c>
      <c r="P57" s="121">
        <f t="shared" si="0"/>
        <v>61588.799995000001</v>
      </c>
      <c r="Q57" s="48">
        <f t="shared" si="1"/>
        <v>3593.0063644531047</v>
      </c>
      <c r="R57" s="123">
        <f t="shared" si="2"/>
        <v>0</v>
      </c>
      <c r="T57" s="144"/>
    </row>
    <row r="58" spans="1:20" x14ac:dyDescent="0.15">
      <c r="A58" s="40"/>
      <c r="B58" s="52" t="s">
        <v>131</v>
      </c>
      <c r="C58" s="53"/>
      <c r="D58" s="43"/>
      <c r="E58" s="49"/>
      <c r="F58" s="26"/>
      <c r="G58" s="50"/>
      <c r="H58" s="51"/>
      <c r="I58" s="50"/>
      <c r="J58" s="83"/>
      <c r="K58" s="48">
        <f>P148</f>
        <v>22213.799995000001</v>
      </c>
      <c r="L58" s="48">
        <f>K58</f>
        <v>22213.799995000001</v>
      </c>
      <c r="M58" s="48"/>
      <c r="N58" s="48"/>
      <c r="O58" s="48"/>
      <c r="P58" s="121">
        <f t="shared" si="0"/>
        <v>22213.799995000001</v>
      </c>
      <c r="Q58" s="48">
        <f t="shared" si="1"/>
        <v>1295.9227126880694</v>
      </c>
      <c r="R58" s="123" t="str">
        <f t="shared" si="2"/>
        <v>按实际支付金额计算</v>
      </c>
      <c r="T58" s="144"/>
    </row>
    <row r="59" spans="1:20" ht="27" x14ac:dyDescent="0.15">
      <c r="A59" s="40"/>
      <c r="B59" s="52" t="s">
        <v>385</v>
      </c>
      <c r="C59" s="53"/>
      <c r="D59" s="43"/>
      <c r="E59" s="49"/>
      <c r="F59" s="26"/>
      <c r="G59" s="50"/>
      <c r="H59" s="51"/>
      <c r="I59" s="50"/>
      <c r="J59" s="83"/>
      <c r="K59" s="48">
        <f>K57-K58</f>
        <v>32262.900004999996</v>
      </c>
      <c r="L59" s="48">
        <f>K59</f>
        <v>32262.900004999996</v>
      </c>
      <c r="M59" s="48"/>
      <c r="N59" s="48"/>
      <c r="O59" s="48"/>
      <c r="P59" s="121">
        <f t="shared" si="0"/>
        <v>39375</v>
      </c>
      <c r="Q59" s="48">
        <f t="shared" si="1"/>
        <v>2297.0836517650355</v>
      </c>
      <c r="R59" s="123" t="str">
        <f t="shared" si="2"/>
        <v>3.5亿元及12.5%税票成本</v>
      </c>
      <c r="T59" s="144"/>
    </row>
    <row r="60" spans="1:20" ht="92.65" customHeight="1" x14ac:dyDescent="0.15">
      <c r="A60" s="54" t="s">
        <v>83</v>
      </c>
      <c r="B60" s="52" t="s">
        <v>386</v>
      </c>
      <c r="C60" s="53">
        <v>77135</v>
      </c>
      <c r="D60" s="209">
        <f t="shared" si="3"/>
        <v>4499.9504121624404</v>
      </c>
      <c r="E60" s="63"/>
      <c r="F60" s="26" t="s">
        <v>552</v>
      </c>
      <c r="G60" s="26" t="s">
        <v>553</v>
      </c>
      <c r="H60" s="26" t="s">
        <v>554</v>
      </c>
      <c r="I60" s="50"/>
      <c r="J60" s="26" t="s">
        <v>555</v>
      </c>
      <c r="K60" s="48">
        <f>([2]俊发202302科目余额表!N222-[2]俊发202302科目余额表!N224)/10000</f>
        <v>8362.6626549999946</v>
      </c>
      <c r="L60" s="48"/>
      <c r="M60" s="48">
        <f>K60</f>
        <v>8362.6626549999946</v>
      </c>
      <c r="N60" s="48"/>
      <c r="O60" s="48" t="s">
        <v>551</v>
      </c>
      <c r="P60" s="121">
        <f t="shared" si="0"/>
        <v>64518.249600000003</v>
      </c>
      <c r="Q60" s="48">
        <f t="shared" si="1"/>
        <v>3763.9064481690421</v>
      </c>
      <c r="R60" s="123" t="str">
        <f t="shared" si="2"/>
        <v>按实际建安成本3780元/㎡测算</v>
      </c>
      <c r="T60" s="144"/>
    </row>
    <row r="61" spans="1:20" outlineLevel="1" x14ac:dyDescent="0.15">
      <c r="A61" s="54">
        <v>1</v>
      </c>
      <c r="B61" s="55" t="s">
        <v>133</v>
      </c>
      <c r="C61" s="56">
        <v>77135</v>
      </c>
      <c r="D61" s="57">
        <f t="shared" si="3"/>
        <v>4499.9504121624404</v>
      </c>
      <c r="E61" s="58"/>
      <c r="F61" s="26"/>
      <c r="G61" s="60"/>
      <c r="H61" s="51"/>
      <c r="I61" s="50"/>
      <c r="J61" s="83"/>
      <c r="K61" s="48"/>
      <c r="L61" s="48"/>
      <c r="M61" s="48"/>
      <c r="N61" s="48"/>
      <c r="O61" s="48"/>
      <c r="P61" s="121"/>
      <c r="Q61" s="48">
        <f t="shared" si="1"/>
        <v>0</v>
      </c>
      <c r="R61" s="123"/>
      <c r="T61" s="144"/>
    </row>
    <row r="62" spans="1:20" outlineLevel="1" x14ac:dyDescent="0.15">
      <c r="A62" s="54">
        <v>2</v>
      </c>
      <c r="B62" s="55" t="s">
        <v>134</v>
      </c>
      <c r="C62" s="56"/>
      <c r="D62" s="57">
        <f t="shared" si="3"/>
        <v>0</v>
      </c>
      <c r="E62" s="58"/>
      <c r="F62" s="26"/>
      <c r="G62" s="60"/>
      <c r="H62" s="51"/>
      <c r="I62" s="50"/>
      <c r="J62" s="83"/>
      <c r="K62" s="48"/>
      <c r="L62" s="48"/>
      <c r="M62" s="48"/>
      <c r="N62" s="48"/>
      <c r="O62" s="48"/>
      <c r="P62" s="173"/>
      <c r="Q62" s="48">
        <f t="shared" si="1"/>
        <v>0</v>
      </c>
      <c r="R62" s="132"/>
      <c r="T62" s="144"/>
    </row>
    <row r="63" spans="1:20" outlineLevel="1" x14ac:dyDescent="0.15">
      <c r="A63" s="54">
        <v>3</v>
      </c>
      <c r="B63" s="55" t="s">
        <v>390</v>
      </c>
      <c r="C63" s="56"/>
      <c r="D63" s="57">
        <f t="shared" si="3"/>
        <v>0</v>
      </c>
      <c r="E63" s="58"/>
      <c r="F63" s="26"/>
      <c r="G63" s="60"/>
      <c r="H63" s="51"/>
      <c r="I63" s="50"/>
      <c r="J63" s="26"/>
      <c r="K63" s="48"/>
      <c r="L63" s="48"/>
      <c r="M63" s="48"/>
      <c r="N63" s="48"/>
      <c r="O63" s="48"/>
      <c r="P63" s="173"/>
      <c r="Q63" s="48">
        <f t="shared" si="1"/>
        <v>0</v>
      </c>
      <c r="R63" s="132"/>
      <c r="T63" s="144"/>
    </row>
    <row r="64" spans="1:20" x14ac:dyDescent="0.15">
      <c r="A64" s="47" t="s">
        <v>105</v>
      </c>
      <c r="B64" s="52" t="s">
        <v>137</v>
      </c>
      <c r="C64" s="53">
        <f>C65+C66+C69</f>
        <v>41783</v>
      </c>
      <c r="D64" s="209">
        <f t="shared" si="3"/>
        <v>2437.5630786463098</v>
      </c>
      <c r="E64" s="63"/>
      <c r="F64" s="26"/>
      <c r="G64" s="26"/>
      <c r="H64" s="26"/>
      <c r="I64" s="50"/>
      <c r="J64" s="26"/>
      <c r="K64" s="48">
        <f t="shared" ref="K64:M64" si="4">K65+K66+K69</f>
        <v>4608.2664440000017</v>
      </c>
      <c r="L64" s="48">
        <f t="shared" si="4"/>
        <v>764.48146999999562</v>
      </c>
      <c r="M64" s="48">
        <f t="shared" si="4"/>
        <v>3843.7849740000056</v>
      </c>
      <c r="N64" s="48">
        <f>SUM(N65:N69)</f>
        <v>4608.2664440000017</v>
      </c>
      <c r="O64" s="48"/>
      <c r="P64" s="121">
        <f t="shared" ref="P64:P66" si="5">P157</f>
        <v>18095.631670080002</v>
      </c>
      <c r="Q64" s="48">
        <f t="shared" si="1"/>
        <v>1055.6744045130768</v>
      </c>
      <c r="R64" s="123">
        <f t="shared" ref="R64:R66" si="6">R157</f>
        <v>0</v>
      </c>
      <c r="T64" s="144"/>
    </row>
    <row r="65" spans="1:20" x14ac:dyDescent="0.15">
      <c r="A65" s="47">
        <v>1</v>
      </c>
      <c r="B65" s="41" t="s">
        <v>89</v>
      </c>
      <c r="C65" s="42">
        <v>5784</v>
      </c>
      <c r="D65" s="211">
        <f t="shared" si="3"/>
        <v>337.43064995070398</v>
      </c>
      <c r="E65" s="44"/>
      <c r="F65" s="26" t="s">
        <v>556</v>
      </c>
      <c r="G65" s="26"/>
      <c r="H65" s="26" t="s">
        <v>557</v>
      </c>
      <c r="I65" s="50"/>
      <c r="J65" s="26"/>
      <c r="K65" s="184">
        <f>[2]俊发202302科目余额表!$J$306/10000</f>
        <v>49.374431000000001</v>
      </c>
      <c r="L65" s="184"/>
      <c r="M65" s="184">
        <f>K65</f>
        <v>49.374431000000001</v>
      </c>
      <c r="N65" s="184">
        <f t="shared" ref="N65:N69" si="7">K65</f>
        <v>49.374431000000001</v>
      </c>
      <c r="O65" s="184"/>
      <c r="P65" s="121">
        <f t="shared" si="5"/>
        <v>3762.7878900000001</v>
      </c>
      <c r="Q65" s="48">
        <f t="shared" si="1"/>
        <v>219.51589961088132</v>
      </c>
      <c r="R65" s="123" t="str">
        <f t="shared" si="6"/>
        <v>按1.5%测算</v>
      </c>
      <c r="T65" s="144"/>
    </row>
    <row r="66" spans="1:20" ht="128.25" x14ac:dyDescent="0.15">
      <c r="A66" s="47">
        <v>2</v>
      </c>
      <c r="B66" s="41" t="s">
        <v>93</v>
      </c>
      <c r="C66" s="42">
        <v>15592</v>
      </c>
      <c r="D66" s="211">
        <f t="shared" si="3"/>
        <v>909.61595678274102</v>
      </c>
      <c r="E66" s="44"/>
      <c r="F66" s="26" t="s">
        <v>558</v>
      </c>
      <c r="G66" s="26"/>
      <c r="H66" s="26"/>
      <c r="I66" s="50"/>
      <c r="J66" s="26" t="s">
        <v>559</v>
      </c>
      <c r="K66" s="184">
        <f>[2]俊发202302科目余额表!$J$329/10000+'[2]1.22亿元投入明细'!D62/10000+982.1</f>
        <v>4558.6750080000011</v>
      </c>
      <c r="L66" s="184">
        <f t="shared" ref="L66:L69" si="8">K66-M66</f>
        <v>764.26446499999565</v>
      </c>
      <c r="M66" s="184">
        <f>M67</f>
        <v>3794.4105430000054</v>
      </c>
      <c r="N66" s="184">
        <f t="shared" si="7"/>
        <v>4558.6750080000011</v>
      </c>
      <c r="O66" s="184"/>
      <c r="P66" s="121">
        <f t="shared" si="5"/>
        <v>8618.8437800800002</v>
      </c>
      <c r="Q66" s="48">
        <f t="shared" si="1"/>
        <v>502.81155922129597</v>
      </c>
      <c r="R66" s="123" t="str">
        <f t="shared" si="6"/>
        <v>按1.25%测算</v>
      </c>
      <c r="T66" s="144"/>
    </row>
    <row r="67" spans="1:20" outlineLevel="1" x14ac:dyDescent="0.15">
      <c r="A67" s="47">
        <v>2.1</v>
      </c>
      <c r="B67" s="7" t="s">
        <v>138</v>
      </c>
      <c r="C67" s="48">
        <f>C66-C68</f>
        <v>8861</v>
      </c>
      <c r="D67" s="43">
        <f t="shared" si="3"/>
        <v>516.93862192482504</v>
      </c>
      <c r="E67" s="49"/>
      <c r="F67" s="26"/>
      <c r="G67" s="50"/>
      <c r="H67" s="26"/>
      <c r="I67" s="50"/>
      <c r="J67" s="83"/>
      <c r="K67" s="130">
        <f>K66</f>
        <v>4558.6750080000011</v>
      </c>
      <c r="L67" s="130">
        <f t="shared" si="8"/>
        <v>764.26446499999565</v>
      </c>
      <c r="M67" s="130">
        <f>P124-M60-M65</f>
        <v>3794.4105430000054</v>
      </c>
      <c r="N67" s="130"/>
      <c r="O67" s="130"/>
      <c r="P67" s="173"/>
      <c r="Q67" s="48">
        <f t="shared" si="1"/>
        <v>0</v>
      </c>
      <c r="R67" s="132"/>
      <c r="T67" s="144"/>
    </row>
    <row r="68" spans="1:20" outlineLevel="1" x14ac:dyDescent="0.15">
      <c r="A68" s="47">
        <v>2.2000000000000002</v>
      </c>
      <c r="B68" s="7" t="s">
        <v>139</v>
      </c>
      <c r="C68" s="48">
        <v>6731</v>
      </c>
      <c r="D68" s="43">
        <f t="shared" si="3"/>
        <v>392.67733485791598</v>
      </c>
      <c r="E68" s="49"/>
      <c r="F68" s="26"/>
      <c r="G68" s="50"/>
      <c r="H68" s="26"/>
      <c r="I68" s="50"/>
      <c r="J68" s="83"/>
      <c r="K68" s="130"/>
      <c r="L68" s="130"/>
      <c r="M68" s="130"/>
      <c r="N68" s="130"/>
      <c r="O68" s="130"/>
      <c r="P68" s="173"/>
      <c r="Q68" s="48">
        <f t="shared" si="1"/>
        <v>0</v>
      </c>
      <c r="R68" s="132"/>
      <c r="T68" s="144"/>
    </row>
    <row r="69" spans="1:20" x14ac:dyDescent="0.15">
      <c r="A69" s="47">
        <v>3</v>
      </c>
      <c r="B69" s="41" t="s">
        <v>98</v>
      </c>
      <c r="C69" s="42">
        <v>20407</v>
      </c>
      <c r="D69" s="42">
        <f t="shared" si="3"/>
        <v>1190.51647191287</v>
      </c>
      <c r="E69" s="44"/>
      <c r="F69" s="26" t="s">
        <v>397</v>
      </c>
      <c r="G69" s="46"/>
      <c r="H69" s="26"/>
      <c r="I69" s="50"/>
      <c r="J69" s="83"/>
      <c r="K69" s="130">
        <f>[2]俊发202302科目余额表!$J$449/10000</f>
        <v>0.21700500000000003</v>
      </c>
      <c r="L69" s="130">
        <f t="shared" si="8"/>
        <v>0.21700500000000003</v>
      </c>
      <c r="M69" s="130"/>
      <c r="N69" s="130">
        <f t="shared" si="7"/>
        <v>0.21700500000000003</v>
      </c>
      <c r="O69" s="130"/>
      <c r="P69" s="121">
        <f>P162</f>
        <v>5714</v>
      </c>
      <c r="Q69" s="48">
        <f t="shared" si="1"/>
        <v>333.34694568089935</v>
      </c>
      <c r="R69" s="123" t="str">
        <f>R162</f>
        <v>按5.5亿元贷款，年化7%，一年半还清测算</v>
      </c>
      <c r="T69" s="144"/>
    </row>
    <row r="70" spans="1:20" hidden="1" outlineLevel="1" x14ac:dyDescent="0.15">
      <c r="A70" s="47">
        <v>3.1</v>
      </c>
      <c r="B70" s="7" t="s">
        <v>140</v>
      </c>
      <c r="C70" s="48">
        <f>C69-C72-C71</f>
        <v>17048</v>
      </c>
      <c r="D70" s="48">
        <f t="shared" si="3"/>
        <v>994.55700559467505</v>
      </c>
      <c r="E70" s="49"/>
      <c r="F70" s="26"/>
      <c r="G70" s="50"/>
      <c r="H70" s="51"/>
      <c r="I70" s="50"/>
      <c r="J70" s="83"/>
      <c r="K70" s="48"/>
      <c r="L70" s="48"/>
      <c r="M70" s="48"/>
      <c r="N70" s="48"/>
      <c r="O70" s="48"/>
      <c r="P70" s="173"/>
      <c r="Q70" s="48">
        <f t="shared" si="1"/>
        <v>0</v>
      </c>
      <c r="R70" s="132"/>
      <c r="T70" s="144"/>
    </row>
    <row r="71" spans="1:20" hidden="1" outlineLevel="1" x14ac:dyDescent="0.15">
      <c r="A71" s="47">
        <v>3.2</v>
      </c>
      <c r="B71" s="7" t="s">
        <v>141</v>
      </c>
      <c r="C71" s="48"/>
      <c r="D71" s="48">
        <f t="shared" si="3"/>
        <v>0</v>
      </c>
      <c r="E71" s="49"/>
      <c r="F71" s="26"/>
      <c r="G71" s="50"/>
      <c r="H71" s="51"/>
      <c r="I71" s="50"/>
      <c r="J71" s="83"/>
      <c r="K71" s="48"/>
      <c r="L71" s="48"/>
      <c r="M71" s="48"/>
      <c r="N71" s="48"/>
      <c r="O71" s="48"/>
      <c r="P71" s="173"/>
      <c r="Q71" s="48">
        <f t="shared" si="1"/>
        <v>0</v>
      </c>
      <c r="R71" s="132"/>
      <c r="T71" s="144"/>
    </row>
    <row r="72" spans="1:20" hidden="1" outlineLevel="1" x14ac:dyDescent="0.15">
      <c r="A72" s="47">
        <v>3.4</v>
      </c>
      <c r="B72" s="7" t="s">
        <v>142</v>
      </c>
      <c r="C72" s="48">
        <v>3359</v>
      </c>
      <c r="D72" s="48">
        <f t="shared" si="3"/>
        <v>195.95946631819101</v>
      </c>
      <c r="E72" s="49"/>
      <c r="F72" s="26"/>
      <c r="G72" s="50"/>
      <c r="H72" s="51"/>
      <c r="I72" s="50"/>
      <c r="J72" s="83"/>
      <c r="K72" s="48"/>
      <c r="L72" s="48"/>
      <c r="M72" s="48"/>
      <c r="N72" s="48"/>
      <c r="O72" s="48"/>
      <c r="P72" s="173"/>
      <c r="Q72" s="48">
        <f t="shared" si="1"/>
        <v>0</v>
      </c>
      <c r="R72" s="132"/>
      <c r="T72" s="144"/>
    </row>
    <row r="73" spans="1:20" collapsed="1" x14ac:dyDescent="0.15">
      <c r="A73" s="47" t="s">
        <v>112</v>
      </c>
      <c r="B73" s="154" t="s">
        <v>398</v>
      </c>
      <c r="C73" s="53">
        <f>C74+C75+C76</f>
        <v>60222</v>
      </c>
      <c r="D73" s="53">
        <f t="shared" si="3"/>
        <v>3513.2691219452399</v>
      </c>
      <c r="E73" s="63"/>
      <c r="F73" s="26"/>
      <c r="G73" s="156"/>
      <c r="H73" s="155"/>
      <c r="I73" s="50"/>
      <c r="J73" s="83"/>
      <c r="K73" s="48">
        <f>K74</f>
        <v>66.279906999999994</v>
      </c>
      <c r="L73" s="48">
        <f>L74</f>
        <v>66.279906999999994</v>
      </c>
      <c r="M73" s="48"/>
      <c r="N73" s="48">
        <f t="shared" ref="N73:N76" si="9">K73</f>
        <v>66.279906999999994</v>
      </c>
      <c r="O73" s="48"/>
      <c r="P73" s="173"/>
      <c r="Q73" s="48">
        <f t="shared" si="1"/>
        <v>0</v>
      </c>
      <c r="R73" s="132"/>
      <c r="T73" s="144"/>
    </row>
    <row r="74" spans="1:20" hidden="1" outlineLevel="1" x14ac:dyDescent="0.15">
      <c r="A74" s="47">
        <v>5.0999999999999996</v>
      </c>
      <c r="B74" s="7" t="s">
        <v>143</v>
      </c>
      <c r="C74" s="48">
        <v>17367</v>
      </c>
      <c r="D74" s="48">
        <f t="shared" si="3"/>
        <v>1013.1670293385</v>
      </c>
      <c r="E74" s="49"/>
      <c r="F74" s="51"/>
      <c r="G74" s="50"/>
      <c r="H74" s="51"/>
      <c r="I74" s="50"/>
      <c r="J74" s="83"/>
      <c r="K74" s="48">
        <f>662799.07/10000</f>
        <v>66.279906999999994</v>
      </c>
      <c r="L74" s="48">
        <f>K74</f>
        <v>66.279906999999994</v>
      </c>
      <c r="M74" s="48">
        <v>0</v>
      </c>
      <c r="N74" s="48">
        <f t="shared" si="9"/>
        <v>66.279906999999994</v>
      </c>
      <c r="O74" s="48"/>
      <c r="P74" s="121">
        <f t="shared" ref="P74:P81" si="10">P167</f>
        <v>14013.3941157553</v>
      </c>
      <c r="Q74" s="48">
        <f t="shared" si="1"/>
        <v>817.52224835661821</v>
      </c>
      <c r="R74" s="123" t="str">
        <f t="shared" ref="R74:R77" si="11">R167</f>
        <v>按税筹后金额计算</v>
      </c>
      <c r="T74" s="144"/>
    </row>
    <row r="75" spans="1:20" hidden="1" outlineLevel="1" x14ac:dyDescent="0.15">
      <c r="A75" s="47">
        <v>5.2</v>
      </c>
      <c r="B75" s="7" t="s">
        <v>144</v>
      </c>
      <c r="C75" s="48">
        <v>26707</v>
      </c>
      <c r="D75" s="48">
        <f t="shared" si="3"/>
        <v>1558.04985619527</v>
      </c>
      <c r="E75" s="49"/>
      <c r="F75" s="51"/>
      <c r="G75" s="50"/>
      <c r="H75" s="51"/>
      <c r="I75" s="50"/>
      <c r="J75" s="83"/>
      <c r="K75" s="48"/>
      <c r="L75" s="48"/>
      <c r="M75" s="48"/>
      <c r="N75" s="48">
        <f t="shared" si="9"/>
        <v>0</v>
      </c>
      <c r="O75" s="48"/>
      <c r="P75" s="121">
        <f t="shared" si="10"/>
        <v>21321.857005241101</v>
      </c>
      <c r="Q75" s="48">
        <f t="shared" si="1"/>
        <v>1243.8879784637747</v>
      </c>
      <c r="R75" s="123" t="str">
        <f t="shared" si="11"/>
        <v>按税筹后金额计算</v>
      </c>
      <c r="T75" s="144"/>
    </row>
    <row r="76" spans="1:20" hidden="1" outlineLevel="1" x14ac:dyDescent="0.15">
      <c r="A76" s="47">
        <v>5.3</v>
      </c>
      <c r="B76" s="7" t="s">
        <v>145</v>
      </c>
      <c r="C76" s="48">
        <v>16148</v>
      </c>
      <c r="D76" s="48">
        <f t="shared" si="3"/>
        <v>942.05223641147404</v>
      </c>
      <c r="E76" s="49"/>
      <c r="F76" s="51"/>
      <c r="G76" s="50"/>
      <c r="H76" s="51"/>
      <c r="I76" s="50"/>
      <c r="J76" s="83"/>
      <c r="K76" s="48"/>
      <c r="L76" s="48"/>
      <c r="M76" s="48"/>
      <c r="N76" s="48">
        <f t="shared" si="9"/>
        <v>0</v>
      </c>
      <c r="O76" s="48"/>
      <c r="P76" s="121">
        <f t="shared" si="10"/>
        <v>18922.2877184809</v>
      </c>
      <c r="Q76" s="48">
        <f t="shared" si="1"/>
        <v>1103.9003878632834</v>
      </c>
      <c r="R76" s="123" t="str">
        <f t="shared" si="11"/>
        <v>按税筹后金额计算</v>
      </c>
      <c r="T76" s="144"/>
    </row>
    <row r="77" spans="1:20" collapsed="1" x14ac:dyDescent="0.15">
      <c r="A77" s="64" t="s">
        <v>115</v>
      </c>
      <c r="B77" s="154" t="s">
        <v>146</v>
      </c>
      <c r="C77" s="53">
        <f>C52-C57-C60-C64-C73</f>
        <v>48443</v>
      </c>
      <c r="D77" s="53">
        <f t="shared" si="3"/>
        <v>2826.0983706020002</v>
      </c>
      <c r="E77" s="63"/>
      <c r="F77" s="155"/>
      <c r="G77" s="156"/>
      <c r="H77" s="51"/>
      <c r="I77" s="50"/>
      <c r="J77" s="83"/>
      <c r="K77" s="53">
        <f>K52-K57-K60-K64-K73</f>
        <v>-67513.909006000002</v>
      </c>
      <c r="L77" s="53">
        <f>L57+L60+L64+L73</f>
        <v>55307.461376999992</v>
      </c>
      <c r="M77" s="53">
        <f>M57+M60+M64+M73</f>
        <v>12206.447629</v>
      </c>
      <c r="N77" s="53">
        <f>N52-N57-N60-N64-N73</f>
        <v>-4674.5463510000018</v>
      </c>
      <c r="O77" s="53"/>
      <c r="P77" s="121">
        <f t="shared" si="10"/>
        <v>52392.305895442682</v>
      </c>
      <c r="Q77" s="48">
        <f t="shared" si="1"/>
        <v>3056.4954755731878</v>
      </c>
      <c r="R77" s="123">
        <f t="shared" si="11"/>
        <v>0</v>
      </c>
      <c r="T77" s="144"/>
    </row>
    <row r="78" spans="1:20" x14ac:dyDescent="0.15">
      <c r="A78" s="47" t="s">
        <v>117</v>
      </c>
      <c r="B78" s="8" t="s">
        <v>148</v>
      </c>
      <c r="C78" s="48">
        <f>C77</f>
        <v>48443</v>
      </c>
      <c r="D78" s="48">
        <f t="shared" si="3"/>
        <v>2826.0983706020002</v>
      </c>
      <c r="E78" s="49"/>
      <c r="F78" s="51"/>
      <c r="G78" s="50"/>
      <c r="H78" s="51"/>
      <c r="I78" s="50"/>
      <c r="J78" s="83"/>
      <c r="K78" s="48"/>
      <c r="L78" s="48"/>
      <c r="M78" s="48"/>
      <c r="N78" s="48"/>
      <c r="O78" s="48"/>
      <c r="P78" s="121">
        <f t="shared" si="10"/>
        <v>52392.305895442682</v>
      </c>
      <c r="Q78" s="48">
        <f t="shared" si="1"/>
        <v>3056.4954755731878</v>
      </c>
      <c r="R78" s="132"/>
      <c r="T78" s="144"/>
    </row>
    <row r="79" spans="1:20" ht="13.5" customHeight="1" outlineLevel="2" x14ac:dyDescent="0.15">
      <c r="A79" s="47">
        <v>7.1</v>
      </c>
      <c r="B79" s="8" t="s">
        <v>400</v>
      </c>
      <c r="C79" s="48">
        <f>C78-C80-C81</f>
        <v>2188</v>
      </c>
      <c r="D79" s="48">
        <f t="shared" si="3"/>
        <v>127.644927747604</v>
      </c>
      <c r="E79" s="49"/>
      <c r="F79" s="51"/>
      <c r="G79" s="50"/>
      <c r="H79" s="51"/>
      <c r="I79" s="50"/>
      <c r="J79" s="83"/>
      <c r="K79" s="48"/>
      <c r="L79" s="48"/>
      <c r="M79" s="48"/>
      <c r="N79" s="48"/>
      <c r="O79" s="48"/>
      <c r="P79" s="121">
        <f t="shared" si="10"/>
        <v>0</v>
      </c>
      <c r="Q79" s="48">
        <f t="shared" si="1"/>
        <v>0</v>
      </c>
      <c r="R79" s="132"/>
      <c r="T79" s="144"/>
    </row>
    <row r="80" spans="1:20" ht="26.85" customHeight="1" outlineLevel="2" x14ac:dyDescent="0.15">
      <c r="A80" s="47">
        <v>7.2</v>
      </c>
      <c r="B80" s="6" t="s">
        <v>149</v>
      </c>
      <c r="C80" s="48">
        <v>9251</v>
      </c>
      <c r="D80" s="48">
        <f t="shared" si="3"/>
        <v>539.69068857087905</v>
      </c>
      <c r="E80" s="49"/>
      <c r="F80" s="51"/>
      <c r="G80" s="50"/>
      <c r="H80" s="51"/>
      <c r="I80" s="50"/>
      <c r="J80" s="83"/>
      <c r="K80" s="48">
        <f>K77*0.2</f>
        <v>-13502.781801200001</v>
      </c>
      <c r="L80" s="48"/>
      <c r="M80" s="48"/>
      <c r="N80" s="48"/>
      <c r="O80" s="48"/>
      <c r="P80" s="121">
        <f t="shared" si="10"/>
        <v>10478.461179088537</v>
      </c>
      <c r="Q80" s="48">
        <f t="shared" si="1"/>
        <v>611.29909511463757</v>
      </c>
      <c r="R80" s="132"/>
      <c r="T80" s="144"/>
    </row>
    <row r="81" spans="1:20" ht="26.85" customHeight="1" outlineLevel="2" x14ac:dyDescent="0.15">
      <c r="A81" s="47">
        <v>7.3</v>
      </c>
      <c r="B81" s="6" t="s">
        <v>150</v>
      </c>
      <c r="C81" s="48">
        <f>C80/20%*0.8</f>
        <v>37004</v>
      </c>
      <c r="D81" s="48">
        <f t="shared" si="3"/>
        <v>2158.7627542835098</v>
      </c>
      <c r="E81" s="49"/>
      <c r="F81" s="51"/>
      <c r="G81" s="50"/>
      <c r="H81" s="51"/>
      <c r="I81" s="50"/>
      <c r="J81" s="83"/>
      <c r="K81" s="48">
        <f>K77*0.8</f>
        <v>-54011.127204800003</v>
      </c>
      <c r="L81" s="48"/>
      <c r="M81" s="48"/>
      <c r="N81" s="48"/>
      <c r="O81" s="48"/>
      <c r="P81" s="121">
        <f t="shared" si="10"/>
        <v>41913.844716354142</v>
      </c>
      <c r="Q81" s="48">
        <f t="shared" si="1"/>
        <v>2445.1963804585498</v>
      </c>
      <c r="R81" s="132"/>
      <c r="T81" s="144"/>
    </row>
    <row r="82" spans="1:20" ht="13.5" x14ac:dyDescent="0.15">
      <c r="A82" s="251" t="s">
        <v>151</v>
      </c>
      <c r="B82" s="252"/>
      <c r="C82" s="253"/>
      <c r="D82" s="254"/>
      <c r="E82" s="255"/>
      <c r="F82" s="256"/>
      <c r="G82" s="256"/>
      <c r="H82" s="256"/>
      <c r="I82" s="256"/>
      <c r="J82" s="256"/>
      <c r="K82" s="258"/>
      <c r="L82" s="258"/>
      <c r="M82" s="258"/>
      <c r="N82" s="259">
        <f>N83+N84+N85+N86+N87+N88+N89+N90+N91+N92+N95+N102+N112</f>
        <v>-4674.5418870000049</v>
      </c>
      <c r="O82" s="259"/>
      <c r="P82" s="260"/>
      <c r="Q82" s="262"/>
      <c r="R82" s="263"/>
      <c r="S82" s="264"/>
      <c r="T82" s="265"/>
    </row>
    <row r="83" spans="1:20" x14ac:dyDescent="0.15">
      <c r="A83" s="1469" t="s">
        <v>153</v>
      </c>
      <c r="B83" s="7" t="s">
        <v>152</v>
      </c>
      <c r="C83" s="48"/>
      <c r="D83" s="43">
        <f t="shared" ref="D83:D96" si="12">C83/C$26*10000</f>
        <v>0</v>
      </c>
      <c r="E83" s="163"/>
      <c r="F83" s="51"/>
      <c r="G83" s="50"/>
      <c r="H83" s="51"/>
      <c r="I83" s="50"/>
      <c r="J83" s="83"/>
      <c r="K83" s="184">
        <f>[2]俊发202302资产负债表!$E$7/10000</f>
        <v>69.591606999999996</v>
      </c>
      <c r="L83" s="184"/>
      <c r="M83" s="184"/>
      <c r="N83" s="184">
        <f t="shared" ref="N83:N105" si="13">K83</f>
        <v>69.591606999999996</v>
      </c>
      <c r="O83" s="184"/>
      <c r="P83" s="173"/>
      <c r="R83" s="132"/>
      <c r="T83" s="144"/>
    </row>
    <row r="84" spans="1:20" x14ac:dyDescent="0.15">
      <c r="A84" s="1469"/>
      <c r="B84" s="7" t="s">
        <v>154</v>
      </c>
      <c r="C84" s="48"/>
      <c r="D84" s="43">
        <f t="shared" si="12"/>
        <v>0</v>
      </c>
      <c r="E84" s="163"/>
      <c r="F84" s="51"/>
      <c r="G84" s="50"/>
      <c r="H84" s="51"/>
      <c r="I84" s="50"/>
      <c r="J84" s="83"/>
      <c r="K84" s="184">
        <f>[2]俊发202302资产负债表!$E$34/10000</f>
        <v>151.029833</v>
      </c>
      <c r="L84" s="184"/>
      <c r="M84" s="184"/>
      <c r="N84" s="184">
        <f t="shared" si="13"/>
        <v>151.029833</v>
      </c>
      <c r="O84" s="184"/>
      <c r="P84" s="173"/>
      <c r="R84" s="132"/>
      <c r="T84" s="144"/>
    </row>
    <row r="85" spans="1:20" x14ac:dyDescent="0.15">
      <c r="A85" s="1469"/>
      <c r="B85" s="7" t="s">
        <v>155</v>
      </c>
      <c r="C85" s="48"/>
      <c r="D85" s="43">
        <f t="shared" si="12"/>
        <v>0</v>
      </c>
      <c r="E85" s="163"/>
      <c r="F85" s="51"/>
      <c r="G85" s="50"/>
      <c r="H85" s="51"/>
      <c r="I85" s="50"/>
      <c r="J85" s="83"/>
      <c r="K85" s="184">
        <f>[2]俊发202302资产负债表!$E$15/10000</f>
        <v>62839.362654999997</v>
      </c>
      <c r="L85" s="184"/>
      <c r="M85" s="184"/>
      <c r="N85" s="184">
        <f t="shared" si="13"/>
        <v>62839.362654999997</v>
      </c>
      <c r="O85" s="184"/>
      <c r="P85" s="173"/>
      <c r="R85" s="132"/>
      <c r="T85" s="144"/>
    </row>
    <row r="86" spans="1:20" x14ac:dyDescent="0.15">
      <c r="A86" s="1469"/>
      <c r="B86" s="7" t="s">
        <v>156</v>
      </c>
      <c r="C86" s="48"/>
      <c r="D86" s="43">
        <f t="shared" si="12"/>
        <v>0</v>
      </c>
      <c r="E86" s="163"/>
      <c r="F86" s="51"/>
      <c r="G86" s="50"/>
      <c r="H86" s="51"/>
      <c r="I86" s="50"/>
      <c r="J86" s="83"/>
      <c r="K86" s="184">
        <f>[2]俊发202302资产负债表!$E$41/10000</f>
        <v>32.416491999999998</v>
      </c>
      <c r="L86" s="184"/>
      <c r="M86" s="184"/>
      <c r="N86" s="184">
        <f t="shared" si="13"/>
        <v>32.416491999999998</v>
      </c>
      <c r="O86" s="184"/>
      <c r="P86" s="173"/>
      <c r="R86" s="132"/>
      <c r="T86" s="144"/>
    </row>
    <row r="87" spans="1:20" x14ac:dyDescent="0.15">
      <c r="A87" s="1469" t="s">
        <v>157</v>
      </c>
      <c r="B87" s="7" t="s">
        <v>403</v>
      </c>
      <c r="C87" s="48"/>
      <c r="D87" s="43">
        <f t="shared" si="12"/>
        <v>0</v>
      </c>
      <c r="E87" s="163"/>
      <c r="F87" s="51"/>
      <c r="G87" s="50"/>
      <c r="H87" s="51"/>
      <c r="I87" s="50"/>
      <c r="J87" s="83"/>
      <c r="K87" s="184">
        <f>[2]俊发202302资产负债表!$E$11/10000</f>
        <v>0</v>
      </c>
      <c r="L87" s="184"/>
      <c r="M87" s="184"/>
      <c r="N87" s="184">
        <f t="shared" si="13"/>
        <v>0</v>
      </c>
      <c r="O87" s="184"/>
      <c r="P87" s="173"/>
      <c r="R87" s="132"/>
      <c r="T87" s="144"/>
    </row>
    <row r="88" spans="1:20" x14ac:dyDescent="0.15">
      <c r="A88" s="1469"/>
      <c r="B88" s="7" t="s">
        <v>161</v>
      </c>
      <c r="C88" s="48"/>
      <c r="D88" s="43">
        <f t="shared" si="12"/>
        <v>0</v>
      </c>
      <c r="E88" s="163"/>
      <c r="F88" s="51"/>
      <c r="G88" s="50"/>
      <c r="H88" s="51"/>
      <c r="I88" s="50"/>
      <c r="J88" s="83"/>
      <c r="K88" s="184">
        <f>[2]俊发202302资产负债表!$J$12/10000</f>
        <v>0</v>
      </c>
      <c r="L88" s="184"/>
      <c r="M88" s="184"/>
      <c r="N88" s="184">
        <f t="shared" si="13"/>
        <v>0</v>
      </c>
      <c r="O88" s="184"/>
      <c r="P88" s="173"/>
      <c r="R88" s="132"/>
      <c r="T88" s="144"/>
    </row>
    <row r="89" spans="1:20" x14ac:dyDescent="0.15">
      <c r="A89" s="1469"/>
      <c r="B89" s="7" t="s">
        <v>404</v>
      </c>
      <c r="C89" s="48"/>
      <c r="D89" s="43">
        <f t="shared" si="12"/>
        <v>0</v>
      </c>
      <c r="E89" s="163"/>
      <c r="F89" s="51"/>
      <c r="G89" s="50"/>
      <c r="H89" s="51"/>
      <c r="I89" s="50"/>
      <c r="J89" s="83"/>
      <c r="K89" s="184">
        <f>+([2]俊发202302科目余额表!$P$187+[2]俊发202302科目余额表!$P$190)/10000</f>
        <v>-35085.167255</v>
      </c>
      <c r="L89" s="184"/>
      <c r="M89" s="184"/>
      <c r="N89" s="184">
        <f t="shared" si="13"/>
        <v>-35085.167255</v>
      </c>
      <c r="O89" s="184"/>
      <c r="P89" s="173"/>
      <c r="R89" s="132"/>
      <c r="T89" s="144"/>
    </row>
    <row r="90" spans="1:20" x14ac:dyDescent="0.15">
      <c r="A90" s="1469"/>
      <c r="B90" s="7" t="s">
        <v>163</v>
      </c>
      <c r="C90" s="48"/>
      <c r="D90" s="43">
        <f t="shared" si="12"/>
        <v>0</v>
      </c>
      <c r="E90" s="163"/>
      <c r="F90" s="51"/>
      <c r="G90" s="50"/>
      <c r="H90" s="51"/>
      <c r="I90" s="50"/>
      <c r="J90" s="83"/>
      <c r="K90" s="184">
        <f>-[2]俊发202302资产负债表!$J$11/10000</f>
        <v>-2287.1820720000001</v>
      </c>
      <c r="L90" s="184"/>
      <c r="M90" s="184"/>
      <c r="N90" s="184">
        <f t="shared" si="13"/>
        <v>-2287.1820720000001</v>
      </c>
      <c r="O90" s="184"/>
      <c r="P90" s="173"/>
      <c r="R90" s="132"/>
      <c r="T90" s="144"/>
    </row>
    <row r="91" spans="1:20" x14ac:dyDescent="0.15">
      <c r="A91" s="1469"/>
      <c r="B91" s="7" t="s">
        <v>164</v>
      </c>
      <c r="C91" s="48"/>
      <c r="D91" s="43">
        <f t="shared" si="12"/>
        <v>0</v>
      </c>
      <c r="E91" s="163"/>
      <c r="F91" s="51"/>
      <c r="G91" s="50"/>
      <c r="H91" s="51"/>
      <c r="I91" s="50"/>
      <c r="J91" s="83"/>
      <c r="K91" s="184">
        <f>+([2]俊发202302科目余额表!$P$70+[2]俊发202302科目余额表!$P$135+[2]俊发202302科目余额表!$P$205+[2]俊发202302科目余额表!$P$209)/10000</f>
        <v>-193.29631799999999</v>
      </c>
      <c r="L91" s="184"/>
      <c r="M91" s="184"/>
      <c r="N91" s="184">
        <f t="shared" si="13"/>
        <v>-193.29631799999999</v>
      </c>
      <c r="O91" s="184"/>
      <c r="P91" s="173"/>
      <c r="R91" s="132"/>
      <c r="T91" s="144"/>
    </row>
    <row r="92" spans="1:20" x14ac:dyDescent="0.15">
      <c r="A92" s="1469"/>
      <c r="B92" s="7" t="s">
        <v>165</v>
      </c>
      <c r="C92" s="48"/>
      <c r="D92" s="43">
        <f t="shared" si="12"/>
        <v>0</v>
      </c>
      <c r="E92" s="49"/>
      <c r="F92" s="51"/>
      <c r="G92" s="50"/>
      <c r="H92" s="51"/>
      <c r="I92" s="50"/>
      <c r="J92" s="83"/>
      <c r="K92" s="184">
        <f>K94-K93</f>
        <v>26.978000000000002</v>
      </c>
      <c r="L92" s="184"/>
      <c r="M92" s="184"/>
      <c r="N92" s="184">
        <f t="shared" si="13"/>
        <v>26.978000000000002</v>
      </c>
      <c r="O92" s="184"/>
      <c r="P92" s="173"/>
      <c r="R92" s="132"/>
      <c r="T92" s="144"/>
    </row>
    <row r="93" spans="1:20" x14ac:dyDescent="0.15">
      <c r="A93" s="1469"/>
      <c r="B93" s="7" t="s">
        <v>166</v>
      </c>
      <c r="C93" s="48"/>
      <c r="D93" s="43">
        <f t="shared" si="12"/>
        <v>0</v>
      </c>
      <c r="E93" s="49"/>
      <c r="F93" s="51"/>
      <c r="G93" s="50"/>
      <c r="H93" s="51"/>
      <c r="I93" s="50"/>
      <c r="J93" s="83"/>
      <c r="K93" s="130">
        <f>[2]俊发202302科目余额表!$O$193/10000</f>
        <v>5</v>
      </c>
      <c r="L93" s="130"/>
      <c r="N93" s="130">
        <f t="shared" si="13"/>
        <v>5</v>
      </c>
      <c r="O93" s="130"/>
      <c r="P93" s="173"/>
      <c r="R93" s="132"/>
      <c r="T93" s="144"/>
    </row>
    <row r="94" spans="1:20" x14ac:dyDescent="0.15">
      <c r="A94" s="1469"/>
      <c r="B94" s="7" t="s">
        <v>167</v>
      </c>
      <c r="C94" s="48"/>
      <c r="D94" s="43">
        <f t="shared" si="12"/>
        <v>0</v>
      </c>
      <c r="E94" s="49"/>
      <c r="F94" s="51"/>
      <c r="G94" s="50"/>
      <c r="H94" s="51"/>
      <c r="I94" s="50"/>
      <c r="J94" s="83"/>
      <c r="K94" s="130">
        <f>[2]俊发202302科目余额表!$N$67/10000</f>
        <v>31.978000000000002</v>
      </c>
      <c r="L94" s="130"/>
      <c r="M94" s="130"/>
      <c r="N94" s="130">
        <f t="shared" si="13"/>
        <v>31.978000000000002</v>
      </c>
      <c r="O94" s="130"/>
      <c r="P94" s="173"/>
      <c r="R94" s="132"/>
      <c r="T94" s="144"/>
    </row>
    <row r="95" spans="1:20" x14ac:dyDescent="0.15">
      <c r="A95" s="1469" t="s">
        <v>405</v>
      </c>
      <c r="B95" s="7" t="s">
        <v>406</v>
      </c>
      <c r="C95" s="48"/>
      <c r="D95" s="43">
        <f t="shared" si="12"/>
        <v>0</v>
      </c>
      <c r="E95" s="49"/>
      <c r="F95" s="51"/>
      <c r="G95" s="50"/>
      <c r="H95" s="51"/>
      <c r="I95" s="50"/>
      <c r="J95" s="83"/>
      <c r="K95" s="184">
        <f>-(K96-K99)</f>
        <v>-3456.4476290000011</v>
      </c>
      <c r="L95" s="184"/>
      <c r="M95" s="184"/>
      <c r="N95" s="184">
        <f t="shared" si="13"/>
        <v>-3456.4476290000011</v>
      </c>
      <c r="O95" s="184"/>
      <c r="P95" s="173"/>
      <c r="R95" s="132"/>
      <c r="T95" s="144"/>
    </row>
    <row r="96" spans="1:20" x14ac:dyDescent="0.15">
      <c r="A96" s="1469"/>
      <c r="B96" s="7" t="s">
        <v>407</v>
      </c>
      <c r="C96" s="48"/>
      <c r="D96" s="43">
        <f t="shared" si="12"/>
        <v>0</v>
      </c>
      <c r="E96" s="49"/>
      <c r="F96" s="51"/>
      <c r="G96" s="50"/>
      <c r="H96" s="51"/>
      <c r="I96" s="50"/>
      <c r="J96" s="83"/>
      <c r="K96" s="130">
        <f>K97+K98</f>
        <v>3456.4476290000011</v>
      </c>
      <c r="L96" s="130"/>
      <c r="M96" s="130"/>
      <c r="N96" s="130">
        <f t="shared" si="13"/>
        <v>3456.4476290000011</v>
      </c>
      <c r="O96" s="130"/>
      <c r="P96" s="173"/>
      <c r="R96" s="132"/>
      <c r="T96" s="144"/>
    </row>
    <row r="97" spans="1:20" x14ac:dyDescent="0.15">
      <c r="A97" s="1469"/>
      <c r="B97" s="7" t="s">
        <v>408</v>
      </c>
      <c r="C97" s="48"/>
      <c r="D97" s="43"/>
      <c r="E97" s="49"/>
      <c r="F97" s="51"/>
      <c r="G97" s="50"/>
      <c r="H97" s="51"/>
      <c r="I97" s="50"/>
      <c r="J97" s="83"/>
      <c r="K97" s="130">
        <f>-[2]俊发202302科目余额表!$P$183/10000+'[2]1.22亿元投入明细'!D62/10000</f>
        <v>3456.4476290000011</v>
      </c>
      <c r="L97" s="130"/>
      <c r="M97" s="130"/>
      <c r="N97" s="130">
        <f t="shared" si="13"/>
        <v>3456.4476290000011</v>
      </c>
      <c r="O97" s="130"/>
      <c r="P97" s="173"/>
      <c r="R97" s="132"/>
      <c r="T97" s="144"/>
    </row>
    <row r="98" spans="1:20" x14ac:dyDescent="0.15">
      <c r="A98" s="1469"/>
      <c r="B98" s="7" t="s">
        <v>409</v>
      </c>
      <c r="C98" s="48"/>
      <c r="D98" s="43"/>
      <c r="E98" s="49"/>
      <c r="F98" s="51"/>
      <c r="G98" s="50"/>
      <c r="H98" s="51"/>
      <c r="I98" s="50"/>
      <c r="J98" s="83"/>
      <c r="K98" s="130"/>
      <c r="L98" s="130"/>
      <c r="M98" s="130"/>
      <c r="N98" s="130">
        <f t="shared" si="13"/>
        <v>0</v>
      </c>
      <c r="O98" s="130"/>
      <c r="P98" s="173"/>
      <c r="R98" s="132"/>
      <c r="T98" s="144"/>
    </row>
    <row r="99" spans="1:20" x14ac:dyDescent="0.15">
      <c r="A99" s="1469"/>
      <c r="B99" s="7" t="s">
        <v>410</v>
      </c>
      <c r="C99" s="48"/>
      <c r="D99" s="43">
        <f t="shared" ref="D99:D103" si="14">C99/C$26*10000</f>
        <v>0</v>
      </c>
      <c r="E99" s="49"/>
      <c r="F99" s="51"/>
      <c r="G99" s="50"/>
      <c r="H99" s="51"/>
      <c r="I99" s="50"/>
      <c r="J99" s="83"/>
      <c r="K99" s="130"/>
      <c r="L99" s="130"/>
      <c r="M99" s="130"/>
      <c r="N99" s="130">
        <f t="shared" si="13"/>
        <v>0</v>
      </c>
      <c r="O99" s="130"/>
      <c r="P99" s="173"/>
      <c r="R99" s="132"/>
      <c r="T99" s="144"/>
    </row>
    <row r="100" spans="1:20" x14ac:dyDescent="0.15">
      <c r="A100" s="1469"/>
      <c r="B100" s="7" t="s">
        <v>411</v>
      </c>
      <c r="C100" s="48"/>
      <c r="D100" s="43"/>
      <c r="E100" s="49"/>
      <c r="F100" s="51"/>
      <c r="G100" s="50"/>
      <c r="H100" s="51"/>
      <c r="I100" s="50"/>
      <c r="J100" s="83"/>
      <c r="K100" s="130"/>
      <c r="L100" s="130"/>
      <c r="M100" s="130"/>
      <c r="N100" s="130">
        <f t="shared" si="13"/>
        <v>0</v>
      </c>
      <c r="O100" s="130"/>
      <c r="P100" s="173"/>
      <c r="R100" s="132"/>
      <c r="T100" s="144"/>
    </row>
    <row r="101" spans="1:20" x14ac:dyDescent="0.15">
      <c r="A101" s="1469"/>
      <c r="B101" s="7" t="s">
        <v>412</v>
      </c>
      <c r="C101" s="48"/>
      <c r="D101" s="43"/>
      <c r="E101" s="49"/>
      <c r="F101" s="51"/>
      <c r="G101" s="50"/>
      <c r="H101" s="51"/>
      <c r="I101" s="50"/>
      <c r="J101" s="83"/>
      <c r="K101" s="130"/>
      <c r="L101" s="130"/>
      <c r="M101" s="130"/>
      <c r="N101" s="130">
        <f t="shared" si="13"/>
        <v>0</v>
      </c>
      <c r="O101" s="130"/>
      <c r="P101" s="173"/>
      <c r="R101" s="132"/>
      <c r="T101" s="144"/>
    </row>
    <row r="102" spans="1:20" x14ac:dyDescent="0.15">
      <c r="A102" s="1469"/>
      <c r="B102" s="7" t="s">
        <v>108</v>
      </c>
      <c r="C102" s="48"/>
      <c r="D102" s="43">
        <f t="shared" si="14"/>
        <v>0</v>
      </c>
      <c r="E102" s="49"/>
      <c r="F102" s="51"/>
      <c r="G102" s="50"/>
      <c r="H102" s="51"/>
      <c r="I102" s="50"/>
      <c r="J102" s="83"/>
      <c r="K102" s="184">
        <f>-(K103-K106)</f>
        <v>-30005.433345999998</v>
      </c>
      <c r="L102" s="184"/>
      <c r="M102" s="184"/>
      <c r="N102" s="184">
        <f t="shared" si="13"/>
        <v>-30005.433345999998</v>
      </c>
      <c r="O102" s="184"/>
      <c r="P102" s="173"/>
      <c r="R102" s="132"/>
      <c r="T102" s="144"/>
    </row>
    <row r="103" spans="1:20" ht="15.4" customHeight="1" x14ac:dyDescent="0.15">
      <c r="A103" s="1469"/>
      <c r="B103" s="7" t="s">
        <v>413</v>
      </c>
      <c r="C103" s="48"/>
      <c r="D103" s="43">
        <f t="shared" si="14"/>
        <v>0</v>
      </c>
      <c r="E103" s="49"/>
      <c r="F103" s="51"/>
      <c r="G103" s="50"/>
      <c r="H103" s="51"/>
      <c r="I103" s="50"/>
      <c r="J103" s="83"/>
      <c r="K103" s="130">
        <f>+K105+K104</f>
        <v>30005.433345999998</v>
      </c>
      <c r="L103" s="130"/>
      <c r="M103" s="130"/>
      <c r="N103" s="130">
        <f t="shared" si="13"/>
        <v>30005.433345999998</v>
      </c>
      <c r="O103" s="130"/>
      <c r="P103" s="173"/>
      <c r="R103" s="132"/>
      <c r="T103" s="144"/>
    </row>
    <row r="104" spans="1:20" x14ac:dyDescent="0.15">
      <c r="A104" s="1469"/>
      <c r="B104" s="7" t="s">
        <v>173</v>
      </c>
      <c r="C104" s="48"/>
      <c r="D104" s="43"/>
      <c r="E104" s="49"/>
      <c r="F104" s="51"/>
      <c r="G104" s="50"/>
      <c r="H104" s="51"/>
      <c r="I104" s="50"/>
      <c r="J104" s="83"/>
      <c r="K104" s="130">
        <f>-([2]俊发202302科目余额表!$S$14+[2]俊发202302科目余额表!$S$19+[2]俊发202302科目余额表!$S$20)/10000</f>
        <v>8750</v>
      </c>
      <c r="L104" s="130"/>
      <c r="M104" s="130"/>
      <c r="N104" s="130">
        <f t="shared" si="13"/>
        <v>8750</v>
      </c>
      <c r="O104" s="130"/>
      <c r="P104" s="173"/>
      <c r="R104" s="132"/>
      <c r="T104" s="144"/>
    </row>
    <row r="105" spans="1:20" x14ac:dyDescent="0.15">
      <c r="A105" s="1469"/>
      <c r="B105" s="7" t="s">
        <v>174</v>
      </c>
      <c r="C105" s="48"/>
      <c r="D105" s="43"/>
      <c r="E105" s="49"/>
      <c r="F105" s="51"/>
      <c r="G105" s="50"/>
      <c r="H105" s="51"/>
      <c r="I105" s="50"/>
      <c r="J105" s="83"/>
      <c r="K105" s="130">
        <f>(-[2]俊发202302科目余额表!$P$75-[2]俊发202302科目余额表!$P$184-[2]俊发202302科目余额表!$P$186-[2]俊发202302科目余额表!$P$188-[2]俊发202302科目余额表!$P$189-[2]俊发202302科目余额表!$P$191-[2]俊发202302科目余额表!$P$218)/10000</f>
        <v>21255.433345999998</v>
      </c>
      <c r="L105" s="130"/>
      <c r="M105" s="130"/>
      <c r="N105" s="130">
        <f t="shared" si="13"/>
        <v>21255.433345999998</v>
      </c>
      <c r="O105" s="130"/>
      <c r="P105" s="173"/>
      <c r="R105" s="132"/>
      <c r="T105" s="144"/>
    </row>
    <row r="106" spans="1:20" x14ac:dyDescent="0.15">
      <c r="A106" s="1469"/>
      <c r="B106" s="7" t="s">
        <v>414</v>
      </c>
      <c r="C106" s="48"/>
      <c r="D106" s="43">
        <f t="shared" ref="D106:D112" si="15">C106/C$26*10000</f>
        <v>0</v>
      </c>
      <c r="E106" s="49"/>
      <c r="F106" s="51"/>
      <c r="G106" s="50"/>
      <c r="H106" s="51"/>
      <c r="I106" s="50"/>
      <c r="J106" s="83"/>
      <c r="K106" s="130"/>
      <c r="L106" s="130"/>
      <c r="M106" s="130"/>
      <c r="N106" s="130"/>
      <c r="O106" s="130"/>
      <c r="P106" s="173"/>
      <c r="R106" s="132"/>
      <c r="T106" s="144"/>
    </row>
    <row r="107" spans="1:20" x14ac:dyDescent="0.15">
      <c r="A107" s="1469"/>
      <c r="B107" s="7" t="s">
        <v>411</v>
      </c>
      <c r="C107" s="48"/>
      <c r="D107" s="43"/>
      <c r="E107" s="49"/>
      <c r="F107" s="51"/>
      <c r="G107" s="50"/>
      <c r="H107" s="51"/>
      <c r="I107" s="50"/>
      <c r="J107" s="83"/>
      <c r="K107" s="130"/>
      <c r="L107" s="130"/>
      <c r="M107" s="130"/>
      <c r="N107" s="130"/>
      <c r="O107" s="130"/>
      <c r="P107" s="173"/>
      <c r="R107" s="132"/>
      <c r="T107" s="144"/>
    </row>
    <row r="108" spans="1:20" x14ac:dyDescent="0.15">
      <c r="A108" s="1469"/>
      <c r="B108" s="7" t="s">
        <v>412</v>
      </c>
      <c r="C108" s="48"/>
      <c r="D108" s="43"/>
      <c r="E108" s="49"/>
      <c r="F108" s="51"/>
      <c r="G108" s="50"/>
      <c r="H108" s="51"/>
      <c r="I108" s="50"/>
      <c r="J108" s="83"/>
      <c r="K108" s="130"/>
      <c r="L108" s="130"/>
      <c r="M108" s="130"/>
      <c r="N108" s="130"/>
      <c r="O108" s="130"/>
      <c r="P108" s="173"/>
      <c r="R108" s="132"/>
      <c r="T108" s="144"/>
    </row>
    <row r="109" spans="1:20" x14ac:dyDescent="0.15">
      <c r="A109" s="1469"/>
      <c r="B109" s="7" t="s">
        <v>109</v>
      </c>
      <c r="D109" s="43">
        <f t="shared" si="15"/>
        <v>0</v>
      </c>
      <c r="F109" s="51"/>
      <c r="G109" s="50"/>
      <c r="H109" s="51"/>
      <c r="I109" s="50"/>
      <c r="J109" s="83"/>
      <c r="K109" s="130">
        <f>-(K110-K111)</f>
        <v>0</v>
      </c>
      <c r="L109" s="130"/>
      <c r="M109" s="130"/>
      <c r="N109" s="130"/>
      <c r="O109" s="130"/>
      <c r="P109" s="173"/>
      <c r="R109" s="132"/>
      <c r="T109" s="144"/>
    </row>
    <row r="110" spans="1:20" x14ac:dyDescent="0.15">
      <c r="A110" s="1469"/>
      <c r="B110" s="7" t="s">
        <v>110</v>
      </c>
      <c r="D110" s="43">
        <f t="shared" si="15"/>
        <v>0</v>
      </c>
      <c r="F110" s="51"/>
      <c r="G110" s="50"/>
      <c r="H110" s="51"/>
      <c r="I110" s="50"/>
      <c r="J110" s="83"/>
      <c r="K110" s="130"/>
      <c r="L110" s="130"/>
      <c r="M110" s="130"/>
      <c r="N110" s="130"/>
      <c r="O110" s="130"/>
      <c r="P110" s="173"/>
      <c r="R110" s="132"/>
      <c r="T110" s="144"/>
    </row>
    <row r="111" spans="1:20" x14ac:dyDescent="0.15">
      <c r="A111" s="1469"/>
      <c r="B111" s="7" t="s">
        <v>111</v>
      </c>
      <c r="D111" s="43">
        <f t="shared" si="15"/>
        <v>0</v>
      </c>
      <c r="F111" s="51"/>
      <c r="G111" s="50"/>
      <c r="H111" s="51"/>
      <c r="I111" s="50"/>
      <c r="J111" s="83"/>
      <c r="K111" s="130"/>
      <c r="L111" s="130"/>
      <c r="M111" s="130"/>
      <c r="N111" s="130"/>
      <c r="O111" s="130"/>
      <c r="P111" s="173"/>
      <c r="R111" s="132"/>
      <c r="T111" s="144"/>
    </row>
    <row r="112" spans="1:20" x14ac:dyDescent="0.15">
      <c r="A112" s="47" t="s">
        <v>176</v>
      </c>
      <c r="B112" s="7" t="s">
        <v>177</v>
      </c>
      <c r="C112" s="48"/>
      <c r="D112" s="43">
        <f t="shared" si="15"/>
        <v>0</v>
      </c>
      <c r="E112" s="49"/>
      <c r="F112" s="51"/>
      <c r="G112" s="50"/>
      <c r="H112" s="51"/>
      <c r="I112" s="50"/>
      <c r="J112" s="83"/>
      <c r="K112" s="184">
        <f>(-[2]俊发202302科目余额表!$O$152+[2]俊发202302科目余额表!$P$77)/10000</f>
        <v>3233.6061459999996</v>
      </c>
      <c r="L112" s="184"/>
      <c r="M112" s="184"/>
      <c r="N112" s="184">
        <f>K112</f>
        <v>3233.6061459999996</v>
      </c>
      <c r="O112" s="184"/>
      <c r="P112" s="173"/>
      <c r="R112" s="132"/>
      <c r="T112" s="144"/>
    </row>
    <row r="113" spans="1:20" ht="13.5" x14ac:dyDescent="0.15">
      <c r="A113" s="17" t="s">
        <v>415</v>
      </c>
      <c r="B113" s="19"/>
      <c r="C113" s="19"/>
      <c r="D113" s="20"/>
      <c r="E113" s="20"/>
      <c r="F113" s="21"/>
      <c r="G113" s="22"/>
      <c r="H113" s="22"/>
      <c r="I113" s="22"/>
      <c r="J113" s="22"/>
      <c r="K113" s="108"/>
      <c r="L113" s="108"/>
      <c r="M113" s="108"/>
      <c r="N113" s="108"/>
      <c r="O113" s="108"/>
      <c r="P113" s="109"/>
      <c r="Q113" s="19"/>
      <c r="R113" s="94"/>
      <c r="S113" s="111"/>
      <c r="T113" s="140"/>
    </row>
    <row r="114" spans="1:20" ht="13.5" x14ac:dyDescent="0.15">
      <c r="A114" s="1501" t="s">
        <v>443</v>
      </c>
      <c r="B114" s="1502"/>
      <c r="C114" s="242"/>
      <c r="D114" s="243"/>
      <c r="E114" s="243"/>
      <c r="F114" s="244"/>
      <c r="G114" s="245"/>
      <c r="H114" s="245"/>
      <c r="I114" s="245"/>
      <c r="J114" s="245"/>
      <c r="K114" s="246"/>
      <c r="L114" s="246"/>
      <c r="M114" s="246"/>
      <c r="N114" s="246"/>
      <c r="O114" s="246"/>
      <c r="P114" s="247"/>
      <c r="Q114" s="242"/>
      <c r="R114" s="249"/>
      <c r="S114" s="241"/>
      <c r="T114" s="250"/>
    </row>
    <row r="115" spans="1:20" ht="13.5" customHeight="1" outlineLevel="2" x14ac:dyDescent="0.15">
      <c r="A115" s="51">
        <v>1</v>
      </c>
      <c r="B115" s="8" t="s">
        <v>139</v>
      </c>
      <c r="C115" s="48">
        <f>C68</f>
        <v>6731</v>
      </c>
      <c r="D115" s="43">
        <f t="shared" ref="D115:D119" si="16">C115/C$26*10000</f>
        <v>392.67733485791598</v>
      </c>
      <c r="E115" s="49"/>
      <c r="F115" s="51"/>
      <c r="G115" s="50"/>
      <c r="H115" s="50"/>
      <c r="I115" s="50"/>
      <c r="J115" s="50"/>
      <c r="P115" s="200">
        <f t="shared" ref="P115:P123" si="17">P208</f>
        <v>5497.1872050800002</v>
      </c>
      <c r="Q115" s="8" t="s">
        <v>444</v>
      </c>
      <c r="R115" s="132"/>
      <c r="T115" s="144"/>
    </row>
    <row r="116" spans="1:20" ht="13.5" customHeight="1" outlineLevel="2" x14ac:dyDescent="0.15">
      <c r="A116" s="51">
        <v>2</v>
      </c>
      <c r="B116" s="8" t="s">
        <v>256</v>
      </c>
      <c r="C116" s="48">
        <f>C72</f>
        <v>3359</v>
      </c>
      <c r="D116" s="43">
        <f t="shared" si="16"/>
        <v>195.95946631819101</v>
      </c>
      <c r="E116" s="49"/>
      <c r="F116" s="51"/>
      <c r="G116" s="50"/>
      <c r="H116" s="50"/>
      <c r="I116" s="50"/>
      <c r="J116" s="50"/>
      <c r="P116" s="200">
        <f t="shared" si="17"/>
        <v>0</v>
      </c>
      <c r="Q116" s="8" t="s">
        <v>445</v>
      </c>
      <c r="R116" s="132"/>
      <c r="T116" s="144"/>
    </row>
    <row r="117" spans="1:20" ht="13.5" customHeight="1" outlineLevel="2" x14ac:dyDescent="0.15">
      <c r="A117" s="51">
        <v>3</v>
      </c>
      <c r="B117" s="8" t="s">
        <v>417</v>
      </c>
      <c r="C117" s="48">
        <f>C63*20%</f>
        <v>0</v>
      </c>
      <c r="D117" s="43">
        <f t="shared" si="16"/>
        <v>0</v>
      </c>
      <c r="E117" s="49"/>
      <c r="F117" s="51"/>
      <c r="G117" s="50"/>
      <c r="H117" s="50"/>
      <c r="I117" s="50"/>
      <c r="J117" s="50"/>
      <c r="P117" s="200">
        <f t="shared" si="17"/>
        <v>0</v>
      </c>
      <c r="Q117" s="8" t="s">
        <v>447</v>
      </c>
      <c r="R117" s="132"/>
      <c r="T117" s="144"/>
    </row>
    <row r="118" spans="1:20" ht="13.5" customHeight="1" outlineLevel="2" x14ac:dyDescent="0.15">
      <c r="A118" s="51">
        <v>4</v>
      </c>
      <c r="B118" s="8" t="s">
        <v>193</v>
      </c>
      <c r="C118" s="48">
        <f>C80</f>
        <v>9251</v>
      </c>
      <c r="D118" s="43">
        <f t="shared" si="16"/>
        <v>539.69068857087905</v>
      </c>
      <c r="E118" s="49"/>
      <c r="F118" s="51"/>
      <c r="G118" s="50"/>
      <c r="H118" s="50"/>
      <c r="I118" s="50"/>
      <c r="J118" s="50"/>
      <c r="P118" s="200">
        <f t="shared" si="17"/>
        <v>10478.461179088537</v>
      </c>
      <c r="Q118" s="8" t="s">
        <v>448</v>
      </c>
      <c r="R118" s="132"/>
      <c r="T118" s="144"/>
    </row>
    <row r="119" spans="1:20" ht="63.75" customHeight="1" outlineLevel="1" x14ac:dyDescent="0.15">
      <c r="A119" s="51" t="s">
        <v>40</v>
      </c>
      <c r="B119" s="8" t="s">
        <v>257</v>
      </c>
      <c r="C119" s="48">
        <f>C115+C116+C117+C118</f>
        <v>19341</v>
      </c>
      <c r="D119" s="43">
        <f t="shared" si="16"/>
        <v>1128.3274897469901</v>
      </c>
      <c r="E119" s="49"/>
      <c r="F119" s="51"/>
      <c r="G119" s="50"/>
      <c r="H119" s="50"/>
      <c r="I119" s="50"/>
      <c r="J119" s="50"/>
      <c r="P119" s="202">
        <f t="shared" si="17"/>
        <v>15975.648384168537</v>
      </c>
      <c r="R119" s="132" t="s">
        <v>560</v>
      </c>
      <c r="T119" s="144"/>
    </row>
    <row r="120" spans="1:20" ht="13.5" customHeight="1" outlineLevel="1" x14ac:dyDescent="0.15">
      <c r="A120" s="173"/>
      <c r="B120" s="173" t="str">
        <f t="shared" ref="B120:B123" si="18">B213</f>
        <v>销售代理费收入</v>
      </c>
      <c r="C120" s="48"/>
      <c r="D120" s="43"/>
      <c r="E120" s="49"/>
      <c r="F120" s="51"/>
      <c r="G120" s="50"/>
      <c r="H120" s="50"/>
      <c r="I120" s="50"/>
      <c r="J120" s="50"/>
      <c r="P120" s="200">
        <f t="shared" si="17"/>
        <v>2508.5252600000003</v>
      </c>
      <c r="Q120" s="8" t="s">
        <v>451</v>
      </c>
      <c r="R120" s="132"/>
      <c r="T120" s="144"/>
    </row>
    <row r="121" spans="1:20" ht="13.5" customHeight="1" outlineLevel="1" x14ac:dyDescent="0.15">
      <c r="A121" s="173"/>
      <c r="B121" s="173" t="str">
        <f t="shared" si="18"/>
        <v>销售代理费人工成本</v>
      </c>
      <c r="C121" s="48"/>
      <c r="D121" s="43"/>
      <c r="E121" s="49"/>
      <c r="F121" s="51"/>
      <c r="G121" s="50"/>
      <c r="H121" s="50"/>
      <c r="I121" s="50"/>
      <c r="J121" s="50"/>
      <c r="P121" s="200">
        <f t="shared" si="17"/>
        <v>2383.0989970000005</v>
      </c>
      <c r="Q121" s="266"/>
      <c r="R121" s="132"/>
      <c r="T121" s="144"/>
    </row>
    <row r="122" spans="1:20" ht="13.5" customHeight="1" outlineLevel="1" x14ac:dyDescent="0.15">
      <c r="A122" s="173"/>
      <c r="B122" s="173" t="str">
        <f t="shared" si="18"/>
        <v>销售代理利润</v>
      </c>
      <c r="C122" s="48"/>
      <c r="D122" s="43"/>
      <c r="E122" s="49"/>
      <c r="F122" s="51"/>
      <c r="G122" s="50"/>
      <c r="H122" s="50"/>
      <c r="I122" s="50"/>
      <c r="J122" s="50"/>
      <c r="P122" s="200">
        <f t="shared" si="17"/>
        <v>125.42626300000002</v>
      </c>
      <c r="Q122" s="266"/>
      <c r="R122" s="132"/>
      <c r="T122" s="144"/>
    </row>
    <row r="123" spans="1:20" ht="13.5" customHeight="1" outlineLevel="1" x14ac:dyDescent="0.15">
      <c r="A123" s="173"/>
      <c r="B123" s="173" t="str">
        <f t="shared" si="18"/>
        <v>收益二小计</v>
      </c>
      <c r="C123" s="48"/>
      <c r="D123" s="43"/>
      <c r="E123" s="49"/>
      <c r="F123" s="51"/>
      <c r="G123" s="50"/>
      <c r="H123" s="50"/>
      <c r="I123" s="50"/>
      <c r="J123" s="50"/>
      <c r="P123" s="200">
        <f t="shared" si="17"/>
        <v>16101.074647168536</v>
      </c>
      <c r="Q123" s="266"/>
      <c r="R123" s="132"/>
      <c r="T123" s="144"/>
    </row>
    <row r="124" spans="1:20" ht="99.75" customHeight="1" outlineLevel="2" x14ac:dyDescent="0.15">
      <c r="A124" s="51" t="s">
        <v>45</v>
      </c>
      <c r="B124" s="8" t="s">
        <v>258</v>
      </c>
      <c r="C124" s="48">
        <f>C35</f>
        <v>8750</v>
      </c>
      <c r="D124" s="43">
        <f>C124/C$26*10000</f>
        <v>510.46303372556298</v>
      </c>
      <c r="E124" s="49"/>
      <c r="F124" s="51"/>
      <c r="G124" s="50"/>
      <c r="H124" s="50"/>
      <c r="I124" s="50"/>
      <c r="J124" s="50"/>
      <c r="P124" s="202">
        <f>'[2]1.22亿元投入明细'!D58/10000</f>
        <v>12206.447629</v>
      </c>
      <c r="Q124" s="266"/>
      <c r="R124" s="132" t="s">
        <v>561</v>
      </c>
      <c r="T124" s="144"/>
    </row>
    <row r="125" spans="1:20" ht="13.5" customHeight="1" outlineLevel="2" x14ac:dyDescent="0.15">
      <c r="A125" s="51" t="s">
        <v>83</v>
      </c>
      <c r="B125" s="8" t="s">
        <v>261</v>
      </c>
      <c r="C125" s="257">
        <f>C119/C124</f>
        <v>2.2103999999999999</v>
      </c>
      <c r="D125" s="43"/>
      <c r="E125" s="49"/>
      <c r="F125" s="51"/>
      <c r="G125" s="50"/>
      <c r="H125" s="50"/>
      <c r="I125" s="50"/>
      <c r="J125" s="50"/>
      <c r="P125" s="203">
        <f>P123/P124</f>
        <v>1.3190630998092931</v>
      </c>
      <c r="Q125" s="267"/>
      <c r="R125" s="132"/>
      <c r="T125" s="144"/>
    </row>
    <row r="126" spans="1:20" ht="13.5" customHeight="1" outlineLevel="2" x14ac:dyDescent="0.15">
      <c r="A126" s="51" t="s">
        <v>105</v>
      </c>
      <c r="B126" s="8" t="s">
        <v>421</v>
      </c>
      <c r="C126" s="257">
        <f>C125/3</f>
        <v>0.73680000000000001</v>
      </c>
      <c r="D126" s="43">
        <f>C126/C$26*10000</f>
        <v>4.2983904371313698E-2</v>
      </c>
      <c r="E126" s="49"/>
      <c r="F126" s="51"/>
      <c r="G126" s="50"/>
      <c r="H126" s="50"/>
      <c r="I126" s="50"/>
      <c r="J126" s="50"/>
      <c r="P126" s="173"/>
      <c r="R126" s="132"/>
      <c r="T126" s="144"/>
    </row>
    <row r="127" spans="1:20" ht="13.5" customHeight="1" outlineLevel="2" x14ac:dyDescent="0.15">
      <c r="A127" s="51" t="s">
        <v>112</v>
      </c>
      <c r="B127" s="8" t="s">
        <v>562</v>
      </c>
      <c r="C127" s="257">
        <f>C124+C119</f>
        <v>28091</v>
      </c>
      <c r="D127" s="43"/>
      <c r="E127" s="49"/>
      <c r="F127" s="51"/>
      <c r="G127" s="50"/>
      <c r="H127" s="50"/>
      <c r="I127" s="50"/>
      <c r="J127" s="50"/>
      <c r="P127" s="121">
        <f>P124+P119</f>
        <v>28182.096013168535</v>
      </c>
      <c r="R127" s="132"/>
      <c r="T127" s="144"/>
    </row>
    <row r="128" spans="1:20" ht="13.5" customHeight="1" outlineLevel="2" x14ac:dyDescent="0.15">
      <c r="A128" s="51" t="s">
        <v>115</v>
      </c>
      <c r="B128" s="8" t="s">
        <v>563</v>
      </c>
      <c r="C128" s="48"/>
      <c r="D128" s="43"/>
      <c r="E128" s="49"/>
      <c r="F128" s="51"/>
      <c r="G128" s="50"/>
      <c r="H128" s="50"/>
      <c r="I128" s="50"/>
      <c r="J128" s="50"/>
      <c r="P128" s="261">
        <v>3000</v>
      </c>
      <c r="R128" s="132" t="s">
        <v>564</v>
      </c>
      <c r="T128" s="144"/>
    </row>
    <row r="129" spans="1:20" ht="13.5" customHeight="1" outlineLevel="2" x14ac:dyDescent="0.15">
      <c r="A129" s="51" t="s">
        <v>117</v>
      </c>
      <c r="B129" s="8" t="s">
        <v>565</v>
      </c>
      <c r="C129" s="48"/>
      <c r="D129" s="43"/>
      <c r="E129" s="49"/>
      <c r="F129" s="51"/>
      <c r="G129" s="50"/>
      <c r="H129" s="50"/>
      <c r="I129" s="50"/>
      <c r="J129" s="50"/>
      <c r="P129" s="261">
        <f>P127-P128</f>
        <v>25182.096013168535</v>
      </c>
      <c r="R129" s="132"/>
      <c r="T129" s="144"/>
    </row>
    <row r="130" spans="1:20" ht="13.5" customHeight="1" outlineLevel="2" x14ac:dyDescent="0.15">
      <c r="A130" s="51">
        <v>7.1</v>
      </c>
      <c r="B130" s="8" t="s">
        <v>566</v>
      </c>
      <c r="C130" s="48"/>
      <c r="D130" s="43"/>
      <c r="E130" s="49"/>
      <c r="F130" s="51"/>
      <c r="G130" s="50"/>
      <c r="H130" s="50"/>
      <c r="I130" s="50"/>
      <c r="J130" s="50"/>
      <c r="P130" s="261">
        <f>P124-P128</f>
        <v>9206.4476290000002</v>
      </c>
      <c r="R130" s="132"/>
      <c r="T130" s="144"/>
    </row>
    <row r="131" spans="1:20" ht="13.5" customHeight="1" outlineLevel="2" x14ac:dyDescent="0.15">
      <c r="A131" s="51">
        <v>7.2</v>
      </c>
      <c r="B131" s="8" t="s">
        <v>567</v>
      </c>
      <c r="C131" s="48"/>
      <c r="D131" s="43"/>
      <c r="E131" s="49"/>
      <c r="F131" s="51"/>
      <c r="G131" s="50"/>
      <c r="H131" s="50"/>
      <c r="I131" s="50"/>
      <c r="J131" s="50"/>
      <c r="P131" s="261">
        <f>P119</f>
        <v>15975.648384168537</v>
      </c>
      <c r="R131" s="132"/>
      <c r="T131" s="144"/>
    </row>
    <row r="132" spans="1:20" ht="13.5" x14ac:dyDescent="0.15">
      <c r="A132" s="1501" t="s">
        <v>568</v>
      </c>
      <c r="B132" s="1502"/>
      <c r="C132" s="242"/>
      <c r="D132" s="243"/>
      <c r="E132" s="243"/>
      <c r="F132" s="244"/>
      <c r="G132" s="245"/>
      <c r="H132" s="245"/>
      <c r="I132" s="245"/>
      <c r="J132" s="245"/>
      <c r="K132" s="246"/>
      <c r="L132" s="246"/>
      <c r="M132" s="246"/>
      <c r="N132" s="246"/>
      <c r="O132" s="246"/>
      <c r="P132" s="247"/>
      <c r="Q132" s="242"/>
      <c r="R132" s="249"/>
      <c r="S132" s="241"/>
      <c r="T132" s="250"/>
    </row>
    <row r="133" spans="1:20" ht="13.5" customHeight="1" outlineLevel="2" x14ac:dyDescent="0.15">
      <c r="A133" s="51">
        <v>1</v>
      </c>
      <c r="B133" s="8" t="s">
        <v>86</v>
      </c>
      <c r="C133" s="48">
        <f>C62</f>
        <v>0</v>
      </c>
      <c r="D133" s="43">
        <f t="shared" ref="D133:D138" si="19">C133/C$26*10000</f>
        <v>0</v>
      </c>
      <c r="E133" s="49"/>
      <c r="F133" s="51"/>
      <c r="G133" s="50"/>
      <c r="H133" s="50"/>
      <c r="I133" s="50"/>
      <c r="J133" s="50"/>
      <c r="P133" s="200">
        <f t="shared" ref="P133:P139" si="20">P221</f>
        <v>0</v>
      </c>
      <c r="Q133" s="266"/>
      <c r="R133" s="214"/>
      <c r="T133" s="144"/>
    </row>
    <row r="134" spans="1:20" ht="13.5" customHeight="1" outlineLevel="2" x14ac:dyDescent="0.15">
      <c r="A134" s="51">
        <v>2</v>
      </c>
      <c r="B134" s="8" t="s">
        <v>385</v>
      </c>
      <c r="C134" s="48">
        <f>C63*80%</f>
        <v>0</v>
      </c>
      <c r="D134" s="43">
        <f t="shared" si="19"/>
        <v>0</v>
      </c>
      <c r="E134" s="49"/>
      <c r="F134" s="51"/>
      <c r="G134" s="50"/>
      <c r="H134" s="50"/>
      <c r="I134" s="50"/>
      <c r="J134" s="50"/>
      <c r="P134" s="200">
        <f t="shared" si="20"/>
        <v>35000</v>
      </c>
      <c r="Q134" s="266"/>
      <c r="R134" s="214"/>
      <c r="T134" s="144"/>
    </row>
    <row r="135" spans="1:20" ht="13.5" customHeight="1" outlineLevel="2" x14ac:dyDescent="0.15">
      <c r="A135" s="51">
        <v>3</v>
      </c>
      <c r="B135" s="8" t="s">
        <v>425</v>
      </c>
      <c r="C135" s="48">
        <f>C81</f>
        <v>37004</v>
      </c>
      <c r="D135" s="43">
        <f t="shared" si="19"/>
        <v>2158.7627542835098</v>
      </c>
      <c r="E135" s="49"/>
      <c r="F135" s="51"/>
      <c r="G135" s="50"/>
      <c r="H135" s="50"/>
      <c r="I135" s="50"/>
      <c r="J135" s="50"/>
      <c r="P135" s="200">
        <f t="shared" si="20"/>
        <v>33531.075773083314</v>
      </c>
      <c r="Q135" s="266"/>
      <c r="R135" s="214"/>
      <c r="T135" s="144"/>
    </row>
    <row r="136" spans="1:20" ht="13.5" customHeight="1" outlineLevel="1" x14ac:dyDescent="0.15">
      <c r="A136" s="51" t="s">
        <v>40</v>
      </c>
      <c r="B136" s="8" t="s">
        <v>257</v>
      </c>
      <c r="C136" s="48">
        <f>C135+C134+C133</f>
        <v>37004</v>
      </c>
      <c r="D136" s="43">
        <f t="shared" si="19"/>
        <v>2158.7627542835098</v>
      </c>
      <c r="E136" s="49"/>
      <c r="F136" s="51"/>
      <c r="G136" s="50"/>
      <c r="H136" s="50"/>
      <c r="I136" s="50"/>
      <c r="J136" s="50"/>
      <c r="P136" s="200">
        <f t="shared" si="20"/>
        <v>68531.075773083314</v>
      </c>
      <c r="Q136" s="266"/>
      <c r="R136" s="214"/>
      <c r="T136" s="144"/>
    </row>
    <row r="137" spans="1:20" ht="13.5" customHeight="1" outlineLevel="2" x14ac:dyDescent="0.15">
      <c r="A137" s="51" t="s">
        <v>45</v>
      </c>
      <c r="B137" s="8" t="s">
        <v>258</v>
      </c>
      <c r="C137" s="48">
        <v>8750</v>
      </c>
      <c r="D137" s="43">
        <f t="shared" si="19"/>
        <v>510.46303372556298</v>
      </c>
      <c r="E137" s="49"/>
      <c r="F137" s="51"/>
      <c r="G137" s="50"/>
      <c r="H137" s="50"/>
      <c r="I137" s="50"/>
      <c r="J137" s="50"/>
      <c r="P137" s="200" t="str">
        <f t="shared" si="20"/>
        <v>/</v>
      </c>
      <c r="Q137" s="266"/>
      <c r="R137" s="214"/>
      <c r="T137" s="144"/>
    </row>
    <row r="138" spans="1:20" ht="13.5" customHeight="1" outlineLevel="2" x14ac:dyDescent="0.15">
      <c r="A138" s="51" t="s">
        <v>83</v>
      </c>
      <c r="B138" s="8" t="s">
        <v>261</v>
      </c>
      <c r="C138" s="48"/>
      <c r="D138" s="43">
        <f t="shared" si="19"/>
        <v>0</v>
      </c>
      <c r="E138" s="49"/>
      <c r="F138" s="51"/>
      <c r="G138" s="50"/>
      <c r="H138" s="50"/>
      <c r="I138" s="50"/>
      <c r="J138" s="50"/>
      <c r="P138" s="200" t="str">
        <f t="shared" si="20"/>
        <v>/</v>
      </c>
      <c r="Q138" s="266"/>
      <c r="R138" s="214"/>
      <c r="T138" s="144"/>
    </row>
    <row r="139" spans="1:20" ht="13.5" customHeight="1" outlineLevel="2" x14ac:dyDescent="0.15">
      <c r="A139" s="51" t="s">
        <v>105</v>
      </c>
      <c r="B139" s="8" t="s">
        <v>421</v>
      </c>
      <c r="C139" s="48"/>
      <c r="D139" s="43"/>
      <c r="E139" s="49"/>
      <c r="F139" s="51"/>
      <c r="G139" s="50"/>
      <c r="H139" s="50"/>
      <c r="I139" s="50"/>
      <c r="J139" s="50"/>
      <c r="P139" s="200" t="str">
        <f t="shared" si="20"/>
        <v>/</v>
      </c>
      <c r="Q139" s="266"/>
      <c r="R139" s="214"/>
      <c r="T139" s="144"/>
    </row>
    <row r="140" spans="1:20" ht="13.5" hidden="1" x14ac:dyDescent="0.15">
      <c r="A140" s="17" t="s">
        <v>426</v>
      </c>
      <c r="B140" s="19"/>
      <c r="C140" s="19"/>
      <c r="D140" s="20"/>
      <c r="E140" s="20"/>
      <c r="F140" s="21"/>
      <c r="G140" s="22"/>
      <c r="H140" s="22"/>
      <c r="I140" s="22"/>
      <c r="J140" s="22"/>
      <c r="K140" s="108"/>
      <c r="L140" s="108"/>
      <c r="M140" s="108"/>
      <c r="N140" s="108"/>
      <c r="O140" s="108"/>
      <c r="P140" s="109"/>
      <c r="Q140" s="19"/>
      <c r="R140" s="94"/>
      <c r="S140" s="111"/>
      <c r="T140" s="140"/>
    </row>
    <row r="141" spans="1:20" ht="13.5" hidden="1" x14ac:dyDescent="0.15">
      <c r="A141" s="1499" t="s">
        <v>15</v>
      </c>
      <c r="B141" s="1500"/>
      <c r="C141" s="242" t="s">
        <v>22</v>
      </c>
      <c r="D141" s="243" t="s">
        <v>37</v>
      </c>
      <c r="E141" s="243" t="s">
        <v>377</v>
      </c>
      <c r="F141" s="244"/>
      <c r="G141" s="245"/>
      <c r="H141" s="245"/>
      <c r="I141" s="245"/>
      <c r="J141" s="245"/>
      <c r="K141" s="246"/>
      <c r="L141" s="246"/>
      <c r="M141" s="246"/>
      <c r="N141" s="246"/>
      <c r="O141" s="246"/>
      <c r="P141" s="247"/>
      <c r="Q141" s="242"/>
      <c r="R141" s="249"/>
      <c r="S141" s="241"/>
      <c r="T141" s="250"/>
    </row>
    <row r="142" spans="1:20" hidden="1" x14ac:dyDescent="0.15">
      <c r="A142" s="40" t="s">
        <v>40</v>
      </c>
      <c r="B142" s="41" t="s">
        <v>379</v>
      </c>
      <c r="C142" s="48">
        <f>C143+C144+C145+C146</f>
        <v>284812</v>
      </c>
      <c r="D142" s="43">
        <f>C142/C$26*10000</f>
        <v>16615.542578450877</v>
      </c>
      <c r="E142" s="49"/>
      <c r="F142" s="51"/>
      <c r="G142" s="50"/>
      <c r="H142" s="51"/>
      <c r="I142" s="50"/>
      <c r="J142" s="83"/>
      <c r="K142" s="12">
        <v>0</v>
      </c>
      <c r="P142" s="215">
        <v>250852.52600000001</v>
      </c>
      <c r="Q142" s="268">
        <f t="shared" ref="Q142:Q174" si="21">P142/$C$26*10000</f>
        <v>14634.393307392089</v>
      </c>
      <c r="R142" s="132"/>
      <c r="T142" s="144"/>
    </row>
    <row r="143" spans="1:20" hidden="1" x14ac:dyDescent="0.15">
      <c r="A143" s="47">
        <v>1</v>
      </c>
      <c r="B143" s="7" t="s">
        <v>60</v>
      </c>
      <c r="C143" s="48">
        <v>207899</v>
      </c>
      <c r="D143" s="43" t="s">
        <v>302</v>
      </c>
      <c r="E143" s="49">
        <v>0.82699999999999996</v>
      </c>
      <c r="F143" s="51"/>
      <c r="G143" s="50"/>
      <c r="H143" s="51"/>
      <c r="I143" s="50"/>
      <c r="J143" s="83"/>
      <c r="P143" s="200">
        <v>210184.166</v>
      </c>
      <c r="Q143" s="266">
        <f t="shared" si="21"/>
        <v>12261.856801992848</v>
      </c>
      <c r="R143" s="132" t="s">
        <v>427</v>
      </c>
      <c r="T143" s="144"/>
    </row>
    <row r="144" spans="1:20" hidden="1" x14ac:dyDescent="0.15">
      <c r="A144" s="47">
        <v>2</v>
      </c>
      <c r="B144" s="7" t="s">
        <v>65</v>
      </c>
      <c r="C144" s="48">
        <v>21380</v>
      </c>
      <c r="D144" s="43" t="s">
        <v>302</v>
      </c>
      <c r="E144" s="49">
        <v>8.5000000000000006E-2</v>
      </c>
      <c r="F144" s="51"/>
      <c r="G144" s="50"/>
      <c r="H144" s="51"/>
      <c r="I144" s="50"/>
      <c r="J144" s="83"/>
      <c r="P144" s="200">
        <v>16308.36</v>
      </c>
      <c r="Q144" s="266">
        <f t="shared" si="21"/>
        <v>951.40741950727192</v>
      </c>
      <c r="R144" s="132" t="s">
        <v>428</v>
      </c>
      <c r="T144" s="144"/>
    </row>
    <row r="145" spans="1:20" hidden="1" x14ac:dyDescent="0.15">
      <c r="A145" s="47">
        <v>3</v>
      </c>
      <c r="B145" s="7" t="s">
        <v>71</v>
      </c>
      <c r="C145" s="48">
        <v>22212</v>
      </c>
      <c r="D145" s="43" t="s">
        <v>302</v>
      </c>
      <c r="E145" s="49">
        <v>8.7999999999999995E-2</v>
      </c>
      <c r="F145" s="51"/>
      <c r="G145" s="50"/>
      <c r="H145" s="51"/>
      <c r="I145" s="50"/>
      <c r="J145" s="83"/>
      <c r="P145" s="200">
        <v>24360</v>
      </c>
      <c r="Q145" s="266">
        <f t="shared" si="21"/>
        <v>1421.1290858919683</v>
      </c>
      <c r="R145" s="132" t="s">
        <v>429</v>
      </c>
      <c r="T145" s="144"/>
    </row>
    <row r="146" spans="1:20" hidden="1" x14ac:dyDescent="0.15">
      <c r="A146" s="47">
        <v>4</v>
      </c>
      <c r="B146" s="7" t="s">
        <v>383</v>
      </c>
      <c r="C146" s="48">
        <v>33321</v>
      </c>
      <c r="D146" s="43" t="s">
        <v>302</v>
      </c>
      <c r="E146" s="49"/>
      <c r="F146" s="51"/>
      <c r="G146" s="50"/>
      <c r="H146" s="51"/>
      <c r="I146" s="50"/>
      <c r="J146" s="83"/>
      <c r="P146" s="200">
        <v>0</v>
      </c>
      <c r="Q146" s="266">
        <f t="shared" si="21"/>
        <v>0</v>
      </c>
      <c r="R146" s="132" t="s">
        <v>430</v>
      </c>
      <c r="T146" s="144"/>
    </row>
    <row r="147" spans="1:20" hidden="1" x14ac:dyDescent="0.15">
      <c r="A147" s="40" t="s">
        <v>45</v>
      </c>
      <c r="B147" s="52" t="s">
        <v>130</v>
      </c>
      <c r="C147" s="53">
        <v>57229</v>
      </c>
      <c r="D147" s="43">
        <f>C147/C$26*10000</f>
        <v>3338.6615950948876</v>
      </c>
      <c r="E147" s="49"/>
      <c r="F147" s="51"/>
      <c r="G147" s="50"/>
      <c r="H147" s="51"/>
      <c r="I147" s="50"/>
      <c r="J147" s="83"/>
      <c r="K147" s="218">
        <f>[2]俊发202302科目余额表!N224/10000</f>
        <v>54476.7</v>
      </c>
      <c r="L147" s="218"/>
      <c r="M147" s="218"/>
      <c r="N147" s="218"/>
      <c r="O147" s="218"/>
      <c r="P147" s="215">
        <f>P148+P149</f>
        <v>61588.799995000001</v>
      </c>
      <c r="Q147" s="268">
        <f t="shared" si="21"/>
        <v>3593.0063644531047</v>
      </c>
      <c r="R147" s="132"/>
      <c r="T147" s="144"/>
    </row>
    <row r="148" spans="1:20" hidden="1" x14ac:dyDescent="0.15">
      <c r="A148" s="40"/>
      <c r="B148" s="52" t="s">
        <v>131</v>
      </c>
      <c r="C148" s="53"/>
      <c r="D148" s="43"/>
      <c r="E148" s="49"/>
      <c r="F148" s="51"/>
      <c r="G148" s="50"/>
      <c r="H148" s="51"/>
      <c r="I148" s="50"/>
      <c r="J148" s="83"/>
      <c r="P148" s="200">
        <v>22213.799995000001</v>
      </c>
      <c r="Q148" s="266">
        <f t="shared" si="21"/>
        <v>1295.9227126880694</v>
      </c>
      <c r="R148" s="132" t="s">
        <v>431</v>
      </c>
      <c r="T148" s="144"/>
    </row>
    <row r="149" spans="1:20" ht="27" hidden="1" x14ac:dyDescent="0.15">
      <c r="A149" s="40"/>
      <c r="B149" s="52" t="s">
        <v>385</v>
      </c>
      <c r="C149" s="53"/>
      <c r="D149" s="43"/>
      <c r="E149" s="49"/>
      <c r="F149" s="51"/>
      <c r="G149" s="50"/>
      <c r="H149" s="51"/>
      <c r="I149" s="50"/>
      <c r="J149" s="83"/>
      <c r="P149" s="200">
        <f>35000*(1+12.5%)</f>
        <v>39375</v>
      </c>
      <c r="Q149" s="266">
        <f t="shared" si="21"/>
        <v>2297.0836517650355</v>
      </c>
      <c r="R149" s="132" t="s">
        <v>432</v>
      </c>
      <c r="T149" s="144"/>
    </row>
    <row r="150" spans="1:20" hidden="1" x14ac:dyDescent="0.15">
      <c r="A150" s="54" t="s">
        <v>83</v>
      </c>
      <c r="B150" s="52" t="s">
        <v>386</v>
      </c>
      <c r="C150" s="53">
        <v>116510</v>
      </c>
      <c r="D150" s="209">
        <f t="shared" ref="D150:D154" si="22">C150/C$26*10000</f>
        <v>6797.0340639274727</v>
      </c>
      <c r="E150" s="63"/>
      <c r="F150" s="155"/>
      <c r="G150" s="156"/>
      <c r="H150" s="210"/>
      <c r="I150" s="50"/>
      <c r="J150" s="83"/>
      <c r="K150" s="218">
        <f>([2]俊发202302科目余额表!N222-[2]俊发202302科目余额表!N224)/10000</f>
        <v>8362.6626549999946</v>
      </c>
      <c r="L150" s="218"/>
      <c r="M150" s="218"/>
      <c r="N150" s="218"/>
      <c r="O150" s="218"/>
      <c r="P150" s="215">
        <f>+P153+P154+P155+P156</f>
        <v>64518.249600000003</v>
      </c>
      <c r="Q150" s="268">
        <f t="shared" si="21"/>
        <v>3763.9064481690421</v>
      </c>
      <c r="R150" s="132" t="s">
        <v>433</v>
      </c>
      <c r="T150" s="144"/>
    </row>
    <row r="151" spans="1:20" hidden="1" x14ac:dyDescent="0.15">
      <c r="A151" s="54"/>
      <c r="B151" s="69" t="s">
        <v>434</v>
      </c>
      <c r="C151" s="53"/>
      <c r="D151" s="209"/>
      <c r="E151" s="63"/>
      <c r="F151" s="155"/>
      <c r="G151" s="156"/>
      <c r="H151" s="210"/>
      <c r="I151" s="50"/>
      <c r="J151" s="83"/>
      <c r="P151" s="200">
        <f>P150-P152</f>
        <v>56024.241918416927</v>
      </c>
      <c r="Q151" s="266">
        <f t="shared" si="21"/>
        <v>3268.3776562114263</v>
      </c>
      <c r="R151" s="132"/>
      <c r="T151" s="144"/>
    </row>
    <row r="152" spans="1:20" hidden="1" x14ac:dyDescent="0.15">
      <c r="A152" s="54"/>
      <c r="B152" s="69" t="s">
        <v>435</v>
      </c>
      <c r="C152" s="53"/>
      <c r="D152" s="209"/>
      <c r="E152" s="63"/>
      <c r="F152" s="155"/>
      <c r="G152" s="156"/>
      <c r="H152" s="210"/>
      <c r="I152" s="50"/>
      <c r="J152" s="83"/>
      <c r="P152" s="200">
        <f>Q150*C27/10000</f>
        <v>8494.0076815830762</v>
      </c>
      <c r="Q152" s="266">
        <f t="shared" si="21"/>
        <v>495.52879195761562</v>
      </c>
      <c r="R152" s="132"/>
      <c r="T152" s="144"/>
    </row>
    <row r="153" spans="1:20" hidden="1" outlineLevel="1" x14ac:dyDescent="0.15">
      <c r="A153" s="54">
        <v>1</v>
      </c>
      <c r="B153" s="55" t="s">
        <v>133</v>
      </c>
      <c r="C153" s="56">
        <f>C61</f>
        <v>77135</v>
      </c>
      <c r="D153" s="57">
        <f t="shared" si="22"/>
        <v>4499.9504121624377</v>
      </c>
      <c r="E153" s="58"/>
      <c r="F153" s="61"/>
      <c r="G153" s="60"/>
      <c r="H153" s="51"/>
      <c r="I153" s="50"/>
      <c r="J153" s="83"/>
      <c r="P153" s="200">
        <v>64518.249600000003</v>
      </c>
      <c r="Q153" s="266">
        <f t="shared" si="21"/>
        <v>3763.9064481690421</v>
      </c>
      <c r="R153" s="132"/>
      <c r="T153" s="144"/>
    </row>
    <row r="154" spans="1:20" hidden="1" outlineLevel="1" x14ac:dyDescent="0.15">
      <c r="A154" s="54">
        <v>2</v>
      </c>
      <c r="B154" s="55" t="s">
        <v>134</v>
      </c>
      <c r="C154" s="56"/>
      <c r="D154" s="57">
        <f t="shared" si="22"/>
        <v>0</v>
      </c>
      <c r="E154" s="58"/>
      <c r="F154" s="61"/>
      <c r="G154" s="60"/>
      <c r="H154" s="51"/>
      <c r="I154" s="50"/>
      <c r="J154" s="83"/>
      <c r="P154" s="200"/>
      <c r="Q154" s="266">
        <f t="shared" si="21"/>
        <v>0</v>
      </c>
      <c r="R154" s="132"/>
      <c r="T154" s="144"/>
    </row>
    <row r="155" spans="1:20" hidden="1" outlineLevel="1" x14ac:dyDescent="0.15">
      <c r="A155" s="54">
        <v>3</v>
      </c>
      <c r="B155" s="55" t="s">
        <v>436</v>
      </c>
      <c r="C155" s="56">
        <f>C150-C153-C156</f>
        <v>4375</v>
      </c>
      <c r="D155" s="57"/>
      <c r="E155" s="58"/>
      <c r="F155" s="61"/>
      <c r="G155" s="60"/>
      <c r="H155" s="51"/>
      <c r="I155" s="50"/>
      <c r="J155" s="83"/>
      <c r="P155" s="200">
        <v>0</v>
      </c>
      <c r="Q155" s="266">
        <f t="shared" si="21"/>
        <v>0</v>
      </c>
      <c r="R155" s="132"/>
      <c r="T155" s="144"/>
    </row>
    <row r="156" spans="1:20" hidden="1" outlineLevel="1" x14ac:dyDescent="0.15">
      <c r="A156" s="54">
        <v>4</v>
      </c>
      <c r="B156" s="55" t="s">
        <v>390</v>
      </c>
      <c r="C156" s="56">
        <v>35000</v>
      </c>
      <c r="D156" s="57">
        <f t="shared" ref="D156:D174" si="23">C156/C$26*10000</f>
        <v>2041.8521349022537</v>
      </c>
      <c r="E156" s="58"/>
      <c r="F156" s="61"/>
      <c r="G156" s="60"/>
      <c r="H156" s="51"/>
      <c r="I156" s="50"/>
      <c r="J156" s="83"/>
      <c r="P156" s="200">
        <f>P154*12.5%</f>
        <v>0</v>
      </c>
      <c r="Q156" s="266">
        <f t="shared" si="21"/>
        <v>0</v>
      </c>
      <c r="R156" s="132"/>
      <c r="T156" s="144"/>
    </row>
    <row r="157" spans="1:20" hidden="1" collapsed="1" x14ac:dyDescent="0.15">
      <c r="A157" s="47" t="s">
        <v>105</v>
      </c>
      <c r="B157" s="52" t="s">
        <v>137</v>
      </c>
      <c r="C157" s="53">
        <f>C158+C159+C162</f>
        <v>41783</v>
      </c>
      <c r="D157" s="209">
        <f t="shared" si="23"/>
        <v>2437.5630786463103</v>
      </c>
      <c r="E157" s="63"/>
      <c r="F157" s="155"/>
      <c r="G157" s="156"/>
      <c r="H157" s="210"/>
      <c r="I157" s="50"/>
      <c r="J157" s="83"/>
      <c r="K157" s="12">
        <f>SUM(K158:K162)</f>
        <v>3506.2288040000003</v>
      </c>
      <c r="P157" s="215">
        <f>+P158+P159+P162</f>
        <v>18095.631670080002</v>
      </c>
      <c r="Q157" s="268">
        <f t="shared" si="21"/>
        <v>1055.6744045130768</v>
      </c>
      <c r="R157" s="132"/>
      <c r="T157" s="144"/>
    </row>
    <row r="158" spans="1:20" hidden="1" x14ac:dyDescent="0.15">
      <c r="A158" s="47">
        <v>1</v>
      </c>
      <c r="B158" s="41" t="s">
        <v>89</v>
      </c>
      <c r="C158" s="42">
        <v>5784</v>
      </c>
      <c r="D158" s="211">
        <f t="shared" si="23"/>
        <v>337.43064995070381</v>
      </c>
      <c r="E158" s="44"/>
      <c r="F158" s="16"/>
      <c r="G158" s="46"/>
      <c r="H158" s="51"/>
      <c r="I158" s="50"/>
      <c r="J158" s="83"/>
      <c r="K158" s="218">
        <f>[2]俊发202302科目余额表!$J$306/10000</f>
        <v>49.374431000000001</v>
      </c>
      <c r="L158" s="218"/>
      <c r="M158" s="218"/>
      <c r="N158" s="218"/>
      <c r="O158" s="218"/>
      <c r="P158" s="200">
        <v>3762.7878900000001</v>
      </c>
      <c r="Q158" s="266">
        <f t="shared" si="21"/>
        <v>219.51589961088132</v>
      </c>
      <c r="R158" s="132" t="s">
        <v>437</v>
      </c>
      <c r="T158" s="144"/>
    </row>
    <row r="159" spans="1:20" hidden="1" outlineLevel="1" x14ac:dyDescent="0.15">
      <c r="A159" s="47">
        <v>2</v>
      </c>
      <c r="B159" s="41" t="s">
        <v>93</v>
      </c>
      <c r="C159" s="42">
        <v>15592</v>
      </c>
      <c r="D159" s="211">
        <f t="shared" si="23"/>
        <v>909.61595678274114</v>
      </c>
      <c r="E159" s="44"/>
      <c r="F159" s="16"/>
      <c r="G159" s="46"/>
      <c r="H159" s="51"/>
      <c r="I159" s="50"/>
      <c r="J159" s="83"/>
      <c r="K159" s="218">
        <f>[2]俊发202302科目余额表!$J$329/10000</f>
        <v>3456.6373680000002</v>
      </c>
      <c r="L159" s="218"/>
      <c r="M159" s="218"/>
      <c r="N159" s="218"/>
      <c r="O159" s="218"/>
      <c r="P159" s="200">
        <f>+P160+P161</f>
        <v>8618.8437800800002</v>
      </c>
      <c r="Q159" s="266">
        <f t="shared" si="21"/>
        <v>502.81155922129597</v>
      </c>
      <c r="R159" s="132" t="s">
        <v>438</v>
      </c>
      <c r="T159" s="144"/>
    </row>
    <row r="160" spans="1:20" hidden="1" outlineLevel="1" x14ac:dyDescent="0.15">
      <c r="A160" s="47">
        <v>2.1</v>
      </c>
      <c r="B160" s="7" t="s">
        <v>138</v>
      </c>
      <c r="C160" s="48">
        <f>C159-C161</f>
        <v>8861</v>
      </c>
      <c r="D160" s="43">
        <f t="shared" si="23"/>
        <v>516.93862192482482</v>
      </c>
      <c r="E160" s="49"/>
      <c r="F160" s="51"/>
      <c r="G160" s="50"/>
      <c r="H160" s="51"/>
      <c r="I160" s="50"/>
      <c r="J160" s="83"/>
      <c r="P160" s="200">
        <v>3135.656575</v>
      </c>
      <c r="Q160" s="266">
        <f t="shared" si="21"/>
        <v>182.9299163424011</v>
      </c>
      <c r="R160" s="132"/>
      <c r="T160" s="144"/>
    </row>
    <row r="161" spans="1:20" hidden="1" outlineLevel="1" x14ac:dyDescent="0.15">
      <c r="A161" s="47">
        <v>2.2000000000000002</v>
      </c>
      <c r="B161" s="7" t="s">
        <v>139</v>
      </c>
      <c r="C161" s="48">
        <v>6731</v>
      </c>
      <c r="D161" s="43">
        <f t="shared" si="23"/>
        <v>392.67733485791626</v>
      </c>
      <c r="E161" s="49"/>
      <c r="F161" s="51"/>
      <c r="G161" s="50"/>
      <c r="H161" s="51"/>
      <c r="I161" s="50"/>
      <c r="J161" s="83"/>
      <c r="P161" s="200">
        <v>5483.1872050800002</v>
      </c>
      <c r="Q161" s="266">
        <f t="shared" si="21"/>
        <v>319.88164287889481</v>
      </c>
      <c r="R161" s="132"/>
      <c r="T161" s="144"/>
    </row>
    <row r="162" spans="1:20" hidden="1" collapsed="1" x14ac:dyDescent="0.15">
      <c r="A162" s="47">
        <v>3</v>
      </c>
      <c r="B162" s="41" t="s">
        <v>98</v>
      </c>
      <c r="C162" s="42">
        <v>20407</v>
      </c>
      <c r="D162" s="211">
        <f t="shared" si="23"/>
        <v>1190.5164719128654</v>
      </c>
      <c r="E162" s="44"/>
      <c r="F162" s="16"/>
      <c r="G162" s="46"/>
      <c r="H162" s="51"/>
      <c r="I162" s="50"/>
      <c r="J162" s="83"/>
      <c r="K162" s="12">
        <f>[2]俊发202302科目余额表!$J$449/10000</f>
        <v>0.21700500000000003</v>
      </c>
      <c r="P162" s="200">
        <f>5700+14</f>
        <v>5714</v>
      </c>
      <c r="Q162" s="266">
        <f t="shared" si="21"/>
        <v>333.34694568089935</v>
      </c>
      <c r="R162" s="132" t="s">
        <v>439</v>
      </c>
      <c r="T162" s="144"/>
    </row>
    <row r="163" spans="1:20" hidden="1" outlineLevel="1" x14ac:dyDescent="0.15">
      <c r="A163" s="47">
        <v>3.1</v>
      </c>
      <c r="B163" s="7" t="s">
        <v>140</v>
      </c>
      <c r="C163" s="48">
        <f>C162-C165-C164</f>
        <v>17048</v>
      </c>
      <c r="D163" s="43">
        <f t="shared" si="23"/>
        <v>994.55700559467482</v>
      </c>
      <c r="E163" s="49"/>
      <c r="F163" s="51"/>
      <c r="G163" s="50"/>
      <c r="H163" s="51"/>
      <c r="I163" s="50"/>
      <c r="J163" s="83"/>
      <c r="P163" s="200"/>
      <c r="Q163" s="266">
        <f t="shared" si="21"/>
        <v>0</v>
      </c>
      <c r="R163" s="132"/>
      <c r="T163" s="144"/>
    </row>
    <row r="164" spans="1:20" hidden="1" outlineLevel="1" x14ac:dyDescent="0.15">
      <c r="A164" s="47">
        <v>3.2</v>
      </c>
      <c r="B164" s="7" t="s">
        <v>141</v>
      </c>
      <c r="C164" s="48"/>
      <c r="D164" s="43">
        <f t="shared" si="23"/>
        <v>0</v>
      </c>
      <c r="E164" s="49"/>
      <c r="F164" s="51"/>
      <c r="G164" s="50"/>
      <c r="H164" s="51"/>
      <c r="I164" s="50"/>
      <c r="J164" s="83"/>
      <c r="P164" s="200"/>
      <c r="Q164" s="266">
        <f t="shared" si="21"/>
        <v>0</v>
      </c>
      <c r="R164" s="132"/>
      <c r="T164" s="144"/>
    </row>
    <row r="165" spans="1:20" hidden="1" outlineLevel="1" x14ac:dyDescent="0.15">
      <c r="A165" s="47">
        <v>3.4</v>
      </c>
      <c r="B165" s="7" t="s">
        <v>142</v>
      </c>
      <c r="C165" s="48">
        <v>3359</v>
      </c>
      <c r="D165" s="43">
        <f t="shared" si="23"/>
        <v>195.95946631819058</v>
      </c>
      <c r="E165" s="49"/>
      <c r="F165" s="51"/>
      <c r="G165" s="50"/>
      <c r="H165" s="51"/>
      <c r="I165" s="50"/>
      <c r="J165" s="83"/>
      <c r="P165" s="200"/>
      <c r="Q165" s="266">
        <f t="shared" si="21"/>
        <v>0</v>
      </c>
      <c r="R165" s="132"/>
      <c r="T165" s="144"/>
    </row>
    <row r="166" spans="1:20" hidden="1" collapsed="1" x14ac:dyDescent="0.15">
      <c r="A166" s="47" t="s">
        <v>112</v>
      </c>
      <c r="B166" s="154" t="s">
        <v>398</v>
      </c>
      <c r="C166" s="53">
        <f>C167+C168+C169</f>
        <v>38689</v>
      </c>
      <c r="D166" s="209">
        <f t="shared" si="23"/>
        <v>2257.0633499209512</v>
      </c>
      <c r="E166" s="63"/>
      <c r="F166" s="155"/>
      <c r="G166" s="156"/>
      <c r="H166" s="155"/>
      <c r="I166" s="50"/>
      <c r="J166" s="83"/>
      <c r="K166" s="12">
        <v>0</v>
      </c>
      <c r="P166" s="215">
        <f>+P167+P168+P169</f>
        <v>54257.538839477304</v>
      </c>
      <c r="Q166" s="268">
        <f t="shared" si="21"/>
        <v>3165.3106146836762</v>
      </c>
      <c r="R166" s="132"/>
      <c r="T166" s="144"/>
    </row>
    <row r="167" spans="1:20" hidden="1" x14ac:dyDescent="0.15">
      <c r="A167" s="47">
        <v>5.0999999999999996</v>
      </c>
      <c r="B167" s="7" t="s">
        <v>143</v>
      </c>
      <c r="C167" s="48">
        <v>13725</v>
      </c>
      <c r="D167" s="43">
        <f t="shared" si="23"/>
        <v>800.69773004381227</v>
      </c>
      <c r="E167" s="49"/>
      <c r="F167" s="51"/>
      <c r="G167" s="50"/>
      <c r="H167" s="51"/>
      <c r="I167" s="50"/>
      <c r="J167" s="83"/>
      <c r="K167" s="12">
        <v>0</v>
      </c>
      <c r="P167" s="200">
        <f>12511.9590319244+1501.43508383093</f>
        <v>14013.3941157553</v>
      </c>
      <c r="Q167" s="266">
        <f t="shared" si="21"/>
        <v>817.52224835661821</v>
      </c>
      <c r="R167" s="132" t="s">
        <v>440</v>
      </c>
      <c r="T167" s="144"/>
    </row>
    <row r="168" spans="1:20" hidden="1" x14ac:dyDescent="0.15">
      <c r="A168" s="47">
        <v>5.2</v>
      </c>
      <c r="B168" s="7" t="s">
        <v>144</v>
      </c>
      <c r="C168" s="48">
        <v>14764</v>
      </c>
      <c r="D168" s="43">
        <f t="shared" si="23"/>
        <v>861.31156913419636</v>
      </c>
      <c r="E168" s="49"/>
      <c r="F168" s="51"/>
      <c r="G168" s="50"/>
      <c r="H168" s="51"/>
      <c r="I168" s="50"/>
      <c r="J168" s="83"/>
      <c r="K168" s="12">
        <v>0</v>
      </c>
      <c r="P168" s="200">
        <v>21321.857005241101</v>
      </c>
      <c r="Q168" s="266">
        <f t="shared" si="21"/>
        <v>1243.8879784637747</v>
      </c>
      <c r="R168" s="132" t="s">
        <v>440</v>
      </c>
      <c r="T168" s="144"/>
    </row>
    <row r="169" spans="1:20" hidden="1" x14ac:dyDescent="0.15">
      <c r="A169" s="47">
        <v>5.3</v>
      </c>
      <c r="B169" s="7" t="s">
        <v>145</v>
      </c>
      <c r="C169" s="48">
        <v>10200</v>
      </c>
      <c r="D169" s="43">
        <f t="shared" si="23"/>
        <v>595.05405074294254</v>
      </c>
      <c r="E169" s="49"/>
      <c r="F169" s="51"/>
      <c r="G169" s="50"/>
      <c r="H169" s="51"/>
      <c r="I169" s="50"/>
      <c r="J169" s="83"/>
      <c r="K169" s="12">
        <v>0</v>
      </c>
      <c r="P169" s="200">
        <v>18922.2877184809</v>
      </c>
      <c r="Q169" s="266">
        <f t="shared" si="21"/>
        <v>1103.9003878632834</v>
      </c>
      <c r="R169" s="132" t="s">
        <v>440</v>
      </c>
      <c r="T169" s="144"/>
    </row>
    <row r="170" spans="1:20" hidden="1" x14ac:dyDescent="0.15">
      <c r="A170" s="64" t="s">
        <v>115</v>
      </c>
      <c r="B170" s="154" t="s">
        <v>146</v>
      </c>
      <c r="C170" s="53">
        <f>C142-C147-C150-C157-C166-1</f>
        <v>30600</v>
      </c>
      <c r="D170" s="209">
        <f t="shared" si="23"/>
        <v>1785.1621522288274</v>
      </c>
      <c r="E170" s="63"/>
      <c r="F170" s="155"/>
      <c r="G170" s="156"/>
      <c r="H170" s="51"/>
      <c r="I170" s="50"/>
      <c r="J170" s="83"/>
      <c r="K170" s="53">
        <f>K142-K147-K150-K157-K166</f>
        <v>-66345.591458999988</v>
      </c>
      <c r="L170" s="53"/>
      <c r="M170" s="53"/>
      <c r="N170" s="53"/>
      <c r="O170" s="53"/>
      <c r="P170" s="200">
        <f>P142-P147-P150-P157-P166</f>
        <v>52392.305895442682</v>
      </c>
      <c r="Q170" s="266">
        <f t="shared" si="21"/>
        <v>3056.4954755731878</v>
      </c>
      <c r="R170" s="132"/>
      <c r="T170" s="144"/>
    </row>
    <row r="171" spans="1:20" hidden="1" x14ac:dyDescent="0.15">
      <c r="A171" s="47" t="s">
        <v>117</v>
      </c>
      <c r="B171" s="8" t="s">
        <v>148</v>
      </c>
      <c r="C171" s="48">
        <f>C170</f>
        <v>30600</v>
      </c>
      <c r="D171" s="43">
        <f t="shared" si="23"/>
        <v>1785.1621522288274</v>
      </c>
      <c r="E171" s="49"/>
      <c r="F171" s="51"/>
      <c r="G171" s="50"/>
      <c r="H171" s="51"/>
      <c r="I171" s="50"/>
      <c r="J171" s="83"/>
      <c r="K171" s="48">
        <f>K170</f>
        <v>-66345.591458999988</v>
      </c>
      <c r="L171" s="48"/>
      <c r="M171" s="48"/>
      <c r="N171" s="48"/>
      <c r="O171" s="48"/>
      <c r="P171" s="215">
        <f>P170</f>
        <v>52392.305895442682</v>
      </c>
      <c r="Q171" s="268">
        <f t="shared" si="21"/>
        <v>3056.4954755731878</v>
      </c>
      <c r="R171" s="132"/>
      <c r="T171" s="144"/>
    </row>
    <row r="172" spans="1:20" ht="13.5" hidden="1" customHeight="1" outlineLevel="2" x14ac:dyDescent="0.15">
      <c r="A172" s="51">
        <v>7.1</v>
      </c>
      <c r="B172" s="8" t="s">
        <v>400</v>
      </c>
      <c r="C172" s="48">
        <f>C171-C173-C174</f>
        <v>2185</v>
      </c>
      <c r="D172" s="43">
        <f t="shared" si="23"/>
        <v>127.46991185032641</v>
      </c>
      <c r="E172" s="49"/>
      <c r="F172" s="51"/>
      <c r="G172" s="50"/>
      <c r="H172" s="51"/>
      <c r="I172" s="50"/>
      <c r="J172" s="83"/>
      <c r="P172" s="200">
        <v>0</v>
      </c>
      <c r="Q172" s="266">
        <f t="shared" si="21"/>
        <v>0</v>
      </c>
      <c r="R172" s="132"/>
      <c r="T172" s="144"/>
    </row>
    <row r="173" spans="1:20" ht="13.5" hidden="1" customHeight="1" outlineLevel="2" x14ac:dyDescent="0.15">
      <c r="A173" s="47">
        <v>7.2</v>
      </c>
      <c r="B173" s="6" t="s">
        <v>149</v>
      </c>
      <c r="C173" s="48">
        <v>5683</v>
      </c>
      <c r="D173" s="43">
        <f t="shared" si="23"/>
        <v>331.53844807570022</v>
      </c>
      <c r="E173" s="49"/>
      <c r="F173" s="51"/>
      <c r="G173" s="50"/>
      <c r="H173" s="51"/>
      <c r="I173" s="50"/>
      <c r="J173" s="83"/>
      <c r="K173" s="12">
        <f>K171*0.2</f>
        <v>-13269.118291799998</v>
      </c>
      <c r="P173" s="215">
        <f>P171*20%</f>
        <v>10478.461179088537</v>
      </c>
      <c r="Q173" s="268">
        <f t="shared" si="21"/>
        <v>611.29909511463757</v>
      </c>
      <c r="R173" s="132"/>
      <c r="T173" s="144"/>
    </row>
    <row r="174" spans="1:20" ht="13.5" hidden="1" customHeight="1" outlineLevel="2" x14ac:dyDescent="0.15">
      <c r="A174" s="47">
        <v>7.3</v>
      </c>
      <c r="B174" s="6" t="s">
        <v>441</v>
      </c>
      <c r="C174" s="48">
        <f>C173/20%*0.8</f>
        <v>22732</v>
      </c>
      <c r="D174" s="43">
        <f t="shared" si="23"/>
        <v>1326.1537923028009</v>
      </c>
      <c r="E174" s="49"/>
      <c r="F174" s="51"/>
      <c r="G174" s="50"/>
      <c r="H174" s="51"/>
      <c r="I174" s="50"/>
      <c r="J174" s="83"/>
      <c r="K174" s="12">
        <f>K171*0.8</f>
        <v>-53076.473167199991</v>
      </c>
      <c r="P174" s="215">
        <f>P171-P172-P173</f>
        <v>41913.844716354142</v>
      </c>
      <c r="Q174" s="268">
        <f t="shared" si="21"/>
        <v>2445.1963804585498</v>
      </c>
      <c r="R174" s="132"/>
      <c r="T174" s="144"/>
    </row>
    <row r="175" spans="1:20" ht="13.5" hidden="1" collapsed="1" x14ac:dyDescent="0.15">
      <c r="A175" s="251" t="s">
        <v>151</v>
      </c>
      <c r="B175" s="252"/>
      <c r="C175" s="253"/>
      <c r="D175" s="254"/>
      <c r="E175" s="255"/>
      <c r="F175" s="256"/>
      <c r="G175" s="256"/>
      <c r="H175" s="256"/>
      <c r="I175" s="256"/>
      <c r="J175" s="256"/>
      <c r="K175" s="259"/>
      <c r="L175" s="259"/>
      <c r="M175" s="259"/>
      <c r="N175" s="259"/>
      <c r="O175" s="259"/>
      <c r="P175" s="260"/>
      <c r="Q175" s="262"/>
      <c r="R175" s="263"/>
      <c r="S175" s="264"/>
      <c r="T175" s="265"/>
    </row>
    <row r="176" spans="1:20" hidden="1" x14ac:dyDescent="0.15">
      <c r="A176" s="1469" t="s">
        <v>153</v>
      </c>
      <c r="B176" s="7" t="s">
        <v>152</v>
      </c>
      <c r="C176" s="48"/>
      <c r="D176" s="43">
        <f t="shared" ref="D176:D189" si="24">C176/C$26*10000</f>
        <v>0</v>
      </c>
      <c r="E176" s="163"/>
      <c r="F176" s="51"/>
      <c r="G176" s="50"/>
      <c r="H176" s="51"/>
      <c r="I176" s="50"/>
      <c r="J176" s="83"/>
      <c r="K176" s="184">
        <f>[2]俊发202302资产负债表!$E$7/10000</f>
        <v>69.591606999999996</v>
      </c>
      <c r="L176" s="184"/>
      <c r="M176" s="184"/>
      <c r="N176" s="184"/>
      <c r="O176" s="184"/>
      <c r="P176" s="173"/>
      <c r="R176" s="132"/>
      <c r="T176" s="144"/>
    </row>
    <row r="177" spans="1:20" hidden="1" x14ac:dyDescent="0.15">
      <c r="A177" s="1469"/>
      <c r="B177" s="7" t="s">
        <v>154</v>
      </c>
      <c r="C177" s="48"/>
      <c r="D177" s="43">
        <f t="shared" si="24"/>
        <v>0</v>
      </c>
      <c r="E177" s="163"/>
      <c r="F177" s="51"/>
      <c r="G177" s="50"/>
      <c r="H177" s="51"/>
      <c r="I177" s="50"/>
      <c r="J177" s="83"/>
      <c r="K177" s="184">
        <f>[2]俊发202302资产负债表!$E$34/10000</f>
        <v>151.029833</v>
      </c>
      <c r="L177" s="184"/>
      <c r="M177" s="184"/>
      <c r="N177" s="184"/>
      <c r="O177" s="184"/>
      <c r="P177" s="173"/>
      <c r="R177" s="132"/>
      <c r="T177" s="144"/>
    </row>
    <row r="178" spans="1:20" hidden="1" x14ac:dyDescent="0.15">
      <c r="A178" s="1469"/>
      <c r="B178" s="7" t="s">
        <v>155</v>
      </c>
      <c r="C178" s="48"/>
      <c r="D178" s="43">
        <f t="shared" si="24"/>
        <v>0</v>
      </c>
      <c r="E178" s="163"/>
      <c r="F178" s="51"/>
      <c r="G178" s="50"/>
      <c r="H178" s="51"/>
      <c r="I178" s="50"/>
      <c r="J178" s="83"/>
      <c r="K178" s="184">
        <f>[2]俊发202302资产负债表!$E$15/10000</f>
        <v>62839.362654999997</v>
      </c>
      <c r="L178" s="184"/>
      <c r="M178" s="184"/>
      <c r="N178" s="184"/>
      <c r="O178" s="184"/>
      <c r="P178" s="173"/>
      <c r="R178" s="132"/>
      <c r="T178" s="144"/>
    </row>
    <row r="179" spans="1:20" hidden="1" x14ac:dyDescent="0.15">
      <c r="A179" s="1469"/>
      <c r="B179" s="7" t="s">
        <v>156</v>
      </c>
      <c r="C179" s="48"/>
      <c r="D179" s="43">
        <f t="shared" si="24"/>
        <v>0</v>
      </c>
      <c r="E179" s="163"/>
      <c r="F179" s="51"/>
      <c r="G179" s="50"/>
      <c r="H179" s="51"/>
      <c r="I179" s="50"/>
      <c r="J179" s="83"/>
      <c r="K179" s="184">
        <f>[2]俊发202302资产负债表!$E$41/10000</f>
        <v>32.416491999999998</v>
      </c>
      <c r="L179" s="184"/>
      <c r="M179" s="184"/>
      <c r="N179" s="184"/>
      <c r="O179" s="184"/>
      <c r="P179" s="173"/>
      <c r="R179" s="132"/>
      <c r="T179" s="144"/>
    </row>
    <row r="180" spans="1:20" hidden="1" x14ac:dyDescent="0.15">
      <c r="A180" s="1469" t="s">
        <v>157</v>
      </c>
      <c r="B180" s="7" t="s">
        <v>403</v>
      </c>
      <c r="C180" s="48"/>
      <c r="D180" s="43">
        <f t="shared" si="24"/>
        <v>0</v>
      </c>
      <c r="E180" s="163"/>
      <c r="F180" s="51"/>
      <c r="G180" s="50"/>
      <c r="H180" s="51"/>
      <c r="I180" s="50"/>
      <c r="J180" s="83"/>
      <c r="K180" s="184">
        <f>[2]俊发202302资产负债表!$E$11/10000</f>
        <v>0</v>
      </c>
      <c r="L180" s="184"/>
      <c r="M180" s="184"/>
      <c r="N180" s="184"/>
      <c r="O180" s="184"/>
      <c r="P180" s="173"/>
      <c r="R180" s="132"/>
      <c r="T180" s="144"/>
    </row>
    <row r="181" spans="1:20" hidden="1" x14ac:dyDescent="0.15">
      <c r="A181" s="1469"/>
      <c r="B181" s="7" t="s">
        <v>161</v>
      </c>
      <c r="C181" s="48"/>
      <c r="D181" s="43">
        <f t="shared" si="24"/>
        <v>0</v>
      </c>
      <c r="E181" s="163"/>
      <c r="F181" s="51"/>
      <c r="G181" s="50"/>
      <c r="H181" s="51"/>
      <c r="I181" s="50"/>
      <c r="J181" s="83"/>
      <c r="K181" s="184">
        <f>[2]俊发202302资产负债表!$J$12/10000</f>
        <v>0</v>
      </c>
      <c r="L181" s="184"/>
      <c r="M181" s="184"/>
      <c r="N181" s="184"/>
      <c r="O181" s="184"/>
      <c r="P181" s="173"/>
      <c r="R181" s="132"/>
      <c r="T181" s="144"/>
    </row>
    <row r="182" spans="1:20" hidden="1" x14ac:dyDescent="0.15">
      <c r="A182" s="1469"/>
      <c r="B182" s="7" t="s">
        <v>404</v>
      </c>
      <c r="C182" s="48"/>
      <c r="D182" s="43">
        <f t="shared" si="24"/>
        <v>0</v>
      </c>
      <c r="E182" s="163"/>
      <c r="F182" s="51"/>
      <c r="G182" s="50"/>
      <c r="H182" s="51"/>
      <c r="I182" s="50"/>
      <c r="J182" s="83"/>
      <c r="K182" s="184">
        <f>+([2]俊发202302科目余额表!$P$187+[2]俊发202302科目余额表!$P$190)/10000</f>
        <v>-35085.167255</v>
      </c>
      <c r="L182" s="184"/>
      <c r="M182" s="184"/>
      <c r="N182" s="184"/>
      <c r="O182" s="184"/>
      <c r="P182" s="173"/>
      <c r="R182" s="132"/>
      <c r="T182" s="144"/>
    </row>
    <row r="183" spans="1:20" hidden="1" x14ac:dyDescent="0.15">
      <c r="A183" s="1469"/>
      <c r="B183" s="7" t="s">
        <v>163</v>
      </c>
      <c r="C183" s="48"/>
      <c r="D183" s="43">
        <f t="shared" si="24"/>
        <v>0</v>
      </c>
      <c r="E183" s="163"/>
      <c r="F183" s="51"/>
      <c r="G183" s="50"/>
      <c r="H183" s="51"/>
      <c r="I183" s="50"/>
      <c r="J183" s="83"/>
      <c r="K183" s="184">
        <f>-[2]俊发202302资产负债表!$J$11/10000</f>
        <v>-2287.1820720000001</v>
      </c>
      <c r="L183" s="184"/>
      <c r="M183" s="184"/>
      <c r="N183" s="184"/>
      <c r="O183" s="184"/>
      <c r="P183" s="173"/>
      <c r="R183" s="132"/>
      <c r="T183" s="144"/>
    </row>
    <row r="184" spans="1:20" hidden="1" x14ac:dyDescent="0.15">
      <c r="A184" s="1469"/>
      <c r="B184" s="7" t="s">
        <v>164</v>
      </c>
      <c r="C184" s="48"/>
      <c r="D184" s="43">
        <f t="shared" si="24"/>
        <v>0</v>
      </c>
      <c r="E184" s="163"/>
      <c r="F184" s="51"/>
      <c r="G184" s="50"/>
      <c r="H184" s="51"/>
      <c r="I184" s="50"/>
      <c r="J184" s="83"/>
      <c r="K184" s="184">
        <f>+([2]俊发202302科目余额表!$P$70+[2]俊发202302科目余额表!$P$135+[2]俊发202302科目余额表!$P$205+[2]俊发202302科目余额表!$P$209)/10000</f>
        <v>-193.29631799999999</v>
      </c>
      <c r="L184" s="184"/>
      <c r="M184" s="184"/>
      <c r="N184" s="184"/>
      <c r="O184" s="184"/>
      <c r="P184" s="173"/>
      <c r="R184" s="132"/>
      <c r="T184" s="144"/>
    </row>
    <row r="185" spans="1:20" hidden="1" x14ac:dyDescent="0.15">
      <c r="A185" s="1469"/>
      <c r="B185" s="7" t="s">
        <v>165</v>
      </c>
      <c r="C185" s="48"/>
      <c r="D185" s="43">
        <f t="shared" si="24"/>
        <v>0</v>
      </c>
      <c r="E185" s="49"/>
      <c r="F185" s="51"/>
      <c r="G185" s="50"/>
      <c r="H185" s="51"/>
      <c r="I185" s="50"/>
      <c r="J185" s="83"/>
      <c r="K185" s="184">
        <f>K187-K186</f>
        <v>26.978000000000002</v>
      </c>
      <c r="L185" s="184"/>
      <c r="M185" s="184"/>
      <c r="N185" s="184"/>
      <c r="O185" s="184"/>
      <c r="P185" s="173"/>
      <c r="R185" s="132"/>
      <c r="T185" s="144"/>
    </row>
    <row r="186" spans="1:20" hidden="1" x14ac:dyDescent="0.15">
      <c r="A186" s="1469"/>
      <c r="B186" s="7" t="s">
        <v>166</v>
      </c>
      <c r="C186" s="48"/>
      <c r="D186" s="43">
        <f t="shared" si="24"/>
        <v>0</v>
      </c>
      <c r="E186" s="49"/>
      <c r="F186" s="51"/>
      <c r="G186" s="50"/>
      <c r="H186" s="51"/>
      <c r="I186" s="50"/>
      <c r="J186" s="83"/>
      <c r="K186" s="130">
        <f>[2]俊发202302科目余额表!$O$193/10000</f>
        <v>5</v>
      </c>
      <c r="L186" s="130"/>
      <c r="M186" s="130"/>
      <c r="N186" s="130"/>
      <c r="O186" s="130"/>
      <c r="P186" s="173"/>
      <c r="R186" s="132"/>
      <c r="T186" s="144"/>
    </row>
    <row r="187" spans="1:20" hidden="1" x14ac:dyDescent="0.15">
      <c r="A187" s="1469"/>
      <c r="B187" s="7" t="s">
        <v>167</v>
      </c>
      <c r="C187" s="48"/>
      <c r="D187" s="43">
        <f t="shared" si="24"/>
        <v>0</v>
      </c>
      <c r="E187" s="49"/>
      <c r="F187" s="51"/>
      <c r="G187" s="50"/>
      <c r="H187" s="51"/>
      <c r="I187" s="50"/>
      <c r="J187" s="83"/>
      <c r="K187" s="130">
        <f>[2]俊发202302科目余额表!$N$67/10000</f>
        <v>31.978000000000002</v>
      </c>
      <c r="L187" s="130"/>
      <c r="M187" s="130"/>
      <c r="N187" s="130"/>
      <c r="O187" s="130"/>
      <c r="P187" s="173"/>
      <c r="R187" s="132"/>
      <c r="T187" s="144"/>
    </row>
    <row r="188" spans="1:20" hidden="1" x14ac:dyDescent="0.15">
      <c r="A188" s="1469" t="s">
        <v>405</v>
      </c>
      <c r="B188" s="7" t="s">
        <v>406</v>
      </c>
      <c r="C188" s="48"/>
      <c r="D188" s="43">
        <f t="shared" si="24"/>
        <v>0</v>
      </c>
      <c r="E188" s="49"/>
      <c r="F188" s="51"/>
      <c r="G188" s="50"/>
      <c r="H188" s="51"/>
      <c r="I188" s="50"/>
      <c r="J188" s="83"/>
      <c r="K188" s="184">
        <f>-(K189-K192)</f>
        <v>-3336.5099890000001</v>
      </c>
      <c r="L188" s="184"/>
      <c r="M188" s="184"/>
      <c r="N188" s="184"/>
      <c r="O188" s="184"/>
      <c r="P188" s="173"/>
      <c r="R188" s="132"/>
      <c r="T188" s="144"/>
    </row>
    <row r="189" spans="1:20" hidden="1" x14ac:dyDescent="0.15">
      <c r="A189" s="1469"/>
      <c r="B189" s="7" t="s">
        <v>407</v>
      </c>
      <c r="C189" s="48"/>
      <c r="D189" s="43">
        <f t="shared" si="24"/>
        <v>0</v>
      </c>
      <c r="E189" s="49"/>
      <c r="F189" s="51"/>
      <c r="G189" s="50"/>
      <c r="H189" s="51"/>
      <c r="I189" s="50"/>
      <c r="J189" s="83"/>
      <c r="K189" s="130">
        <f>K190+K191</f>
        <v>3336.5099890000001</v>
      </c>
      <c r="L189" s="130"/>
      <c r="M189" s="130"/>
      <c r="N189" s="130"/>
      <c r="O189" s="130"/>
      <c r="P189" s="173"/>
      <c r="R189" s="132"/>
      <c r="T189" s="144"/>
    </row>
    <row r="190" spans="1:20" hidden="1" outlineLevel="1" x14ac:dyDescent="0.15">
      <c r="A190" s="1469"/>
      <c r="B190" s="7" t="s">
        <v>408</v>
      </c>
      <c r="C190" s="48"/>
      <c r="D190" s="43"/>
      <c r="E190" s="49"/>
      <c r="F190" s="51"/>
      <c r="G190" s="50"/>
      <c r="H190" s="51"/>
      <c r="I190" s="50"/>
      <c r="J190" s="83"/>
      <c r="K190" s="130">
        <f>-[2]俊发202302科目余额表!$P$183/10000</f>
        <v>3336.5099890000001</v>
      </c>
      <c r="L190" s="130"/>
      <c r="M190" s="130"/>
      <c r="N190" s="130"/>
      <c r="O190" s="130"/>
      <c r="P190" s="173"/>
      <c r="R190" s="132"/>
      <c r="T190" s="144"/>
    </row>
    <row r="191" spans="1:20" hidden="1" outlineLevel="1" x14ac:dyDescent="0.15">
      <c r="A191" s="1469"/>
      <c r="B191" s="7" t="s">
        <v>409</v>
      </c>
      <c r="C191" s="48"/>
      <c r="D191" s="43"/>
      <c r="E191" s="49"/>
      <c r="F191" s="51"/>
      <c r="G191" s="50"/>
      <c r="H191" s="51"/>
      <c r="I191" s="50"/>
      <c r="J191" s="83"/>
      <c r="K191" s="130"/>
      <c r="L191" s="130"/>
      <c r="M191" s="130"/>
      <c r="N191" s="130"/>
      <c r="O191" s="130"/>
      <c r="P191" s="173"/>
      <c r="R191" s="132"/>
      <c r="T191" s="144"/>
    </row>
    <row r="192" spans="1:20" hidden="1" collapsed="1" x14ac:dyDescent="0.15">
      <c r="A192" s="1469"/>
      <c r="B192" s="7" t="s">
        <v>410</v>
      </c>
      <c r="C192" s="48"/>
      <c r="D192" s="43">
        <f t="shared" ref="D192:D196" si="25">C192/C$26*10000</f>
        <v>0</v>
      </c>
      <c r="E192" s="49"/>
      <c r="F192" s="51"/>
      <c r="G192" s="50"/>
      <c r="H192" s="51"/>
      <c r="I192" s="50"/>
      <c r="J192" s="83"/>
      <c r="K192" s="130"/>
      <c r="L192" s="130"/>
      <c r="M192" s="130"/>
      <c r="N192" s="130"/>
      <c r="O192" s="130"/>
      <c r="P192" s="173"/>
      <c r="R192" s="132"/>
      <c r="T192" s="144"/>
    </row>
    <row r="193" spans="1:20" hidden="1" x14ac:dyDescent="0.15">
      <c r="A193" s="1469"/>
      <c r="B193" s="7" t="s">
        <v>411</v>
      </c>
      <c r="C193" s="48"/>
      <c r="D193" s="43"/>
      <c r="E193" s="49"/>
      <c r="F193" s="51"/>
      <c r="G193" s="50"/>
      <c r="H193" s="51"/>
      <c r="I193" s="50"/>
      <c r="J193" s="83"/>
      <c r="K193" s="130"/>
      <c r="L193" s="130"/>
      <c r="M193" s="130"/>
      <c r="N193" s="130"/>
      <c r="O193" s="130"/>
      <c r="P193" s="173"/>
      <c r="R193" s="132"/>
      <c r="T193" s="144"/>
    </row>
    <row r="194" spans="1:20" hidden="1" x14ac:dyDescent="0.15">
      <c r="A194" s="1469"/>
      <c r="B194" s="7" t="s">
        <v>412</v>
      </c>
      <c r="C194" s="48"/>
      <c r="D194" s="43"/>
      <c r="E194" s="49"/>
      <c r="F194" s="51"/>
      <c r="G194" s="50"/>
      <c r="H194" s="51"/>
      <c r="I194" s="50"/>
      <c r="J194" s="83"/>
      <c r="K194" s="130"/>
      <c r="L194" s="130"/>
      <c r="M194" s="130"/>
      <c r="N194" s="130"/>
      <c r="O194" s="130"/>
      <c r="P194" s="173"/>
      <c r="R194" s="132"/>
      <c r="T194" s="144"/>
    </row>
    <row r="195" spans="1:20" hidden="1" x14ac:dyDescent="0.15">
      <c r="A195" s="1469"/>
      <c r="B195" s="7" t="s">
        <v>108</v>
      </c>
      <c r="C195" s="48"/>
      <c r="D195" s="43">
        <f t="shared" si="25"/>
        <v>0</v>
      </c>
      <c r="E195" s="49"/>
      <c r="F195" s="51"/>
      <c r="G195" s="50"/>
      <c r="H195" s="51"/>
      <c r="I195" s="50"/>
      <c r="J195" s="83"/>
      <c r="K195" s="184">
        <f>-(K196-K199)</f>
        <v>-30005.433345999998</v>
      </c>
      <c r="L195" s="184"/>
      <c r="M195" s="184"/>
      <c r="N195" s="184"/>
      <c r="O195" s="184"/>
      <c r="P195" s="173"/>
      <c r="R195" s="132"/>
      <c r="T195" s="144"/>
    </row>
    <row r="196" spans="1:20" hidden="1" x14ac:dyDescent="0.15">
      <c r="A196" s="1469"/>
      <c r="B196" s="7" t="s">
        <v>413</v>
      </c>
      <c r="C196" s="48"/>
      <c r="D196" s="43">
        <f t="shared" si="25"/>
        <v>0</v>
      </c>
      <c r="E196" s="49"/>
      <c r="F196" s="51"/>
      <c r="G196" s="50"/>
      <c r="H196" s="51"/>
      <c r="I196" s="50"/>
      <c r="J196" s="83"/>
      <c r="K196" s="130">
        <f>+K198+K197</f>
        <v>30005.433345999998</v>
      </c>
      <c r="L196" s="130"/>
      <c r="M196" s="130"/>
      <c r="N196" s="130"/>
      <c r="O196" s="130"/>
      <c r="P196" s="173"/>
      <c r="R196" s="132"/>
      <c r="T196" s="144"/>
    </row>
    <row r="197" spans="1:20" hidden="1" outlineLevel="1" x14ac:dyDescent="0.15">
      <c r="A197" s="1469"/>
      <c r="B197" s="7" t="s">
        <v>173</v>
      </c>
      <c r="C197" s="48"/>
      <c r="D197" s="43"/>
      <c r="E197" s="49"/>
      <c r="F197" s="51"/>
      <c r="G197" s="50"/>
      <c r="H197" s="51"/>
      <c r="I197" s="50"/>
      <c r="J197" s="83"/>
      <c r="K197" s="130">
        <f>-([2]俊发202302科目余额表!$S$14+[2]俊发202302科目余额表!$S$19+[2]俊发202302科目余额表!$S$20)/10000</f>
        <v>8750</v>
      </c>
      <c r="L197" s="130"/>
      <c r="M197" s="130"/>
      <c r="N197" s="130"/>
      <c r="O197" s="130"/>
      <c r="P197" s="173"/>
      <c r="R197" s="132"/>
      <c r="T197" s="144"/>
    </row>
    <row r="198" spans="1:20" hidden="1" outlineLevel="1" x14ac:dyDescent="0.15">
      <c r="A198" s="1469"/>
      <c r="B198" s="7" t="s">
        <v>174</v>
      </c>
      <c r="C198" s="48"/>
      <c r="D198" s="43"/>
      <c r="E198" s="49"/>
      <c r="F198" s="51"/>
      <c r="G198" s="50"/>
      <c r="H198" s="51"/>
      <c r="I198" s="50"/>
      <c r="J198" s="83"/>
      <c r="K198" s="130">
        <f>(-[2]俊发202302科目余额表!$P$75-[2]俊发202302科目余额表!$P$184-[2]俊发202302科目余额表!$P$186-[2]俊发202302科目余额表!$P$188-[2]俊发202302科目余额表!$P$189-[2]俊发202302科目余额表!$P$191-[2]俊发202302科目余额表!$P$218)/10000</f>
        <v>21255.433345999998</v>
      </c>
      <c r="L198" s="130"/>
      <c r="M198" s="130"/>
      <c r="N198" s="130"/>
      <c r="O198" s="130"/>
      <c r="P198" s="173"/>
      <c r="R198" s="132"/>
      <c r="T198" s="144"/>
    </row>
    <row r="199" spans="1:20" hidden="1" collapsed="1" x14ac:dyDescent="0.15">
      <c r="A199" s="1469"/>
      <c r="B199" s="7" t="s">
        <v>414</v>
      </c>
      <c r="C199" s="48"/>
      <c r="D199" s="43">
        <f t="shared" ref="D199:D205" si="26">C199/C$26*10000</f>
        <v>0</v>
      </c>
      <c r="E199" s="49"/>
      <c r="F199" s="51"/>
      <c r="G199" s="50"/>
      <c r="H199" s="51"/>
      <c r="I199" s="50"/>
      <c r="J199" s="83"/>
      <c r="K199" s="130"/>
      <c r="L199" s="130"/>
      <c r="M199" s="130"/>
      <c r="N199" s="130"/>
      <c r="O199" s="130"/>
      <c r="P199" s="173"/>
      <c r="R199" s="132"/>
      <c r="T199" s="144"/>
    </row>
    <row r="200" spans="1:20" hidden="1" x14ac:dyDescent="0.15">
      <c r="A200" s="1469"/>
      <c r="B200" s="7" t="s">
        <v>411</v>
      </c>
      <c r="C200" s="48"/>
      <c r="D200" s="43"/>
      <c r="E200" s="49"/>
      <c r="F200" s="51"/>
      <c r="G200" s="50"/>
      <c r="H200" s="51"/>
      <c r="I200" s="50"/>
      <c r="J200" s="83"/>
      <c r="K200" s="130"/>
      <c r="L200" s="130"/>
      <c r="M200" s="130"/>
      <c r="N200" s="130"/>
      <c r="O200" s="130"/>
      <c r="P200" s="173"/>
      <c r="R200" s="132"/>
      <c r="T200" s="144"/>
    </row>
    <row r="201" spans="1:20" hidden="1" x14ac:dyDescent="0.15">
      <c r="A201" s="1469"/>
      <c r="B201" s="7" t="s">
        <v>412</v>
      </c>
      <c r="C201" s="48"/>
      <c r="D201" s="43"/>
      <c r="E201" s="49"/>
      <c r="F201" s="51"/>
      <c r="G201" s="50"/>
      <c r="H201" s="51"/>
      <c r="I201" s="50"/>
      <c r="J201" s="83"/>
      <c r="K201" s="130"/>
      <c r="L201" s="130"/>
      <c r="M201" s="130"/>
      <c r="N201" s="130"/>
      <c r="O201" s="130"/>
      <c r="P201" s="173"/>
      <c r="R201" s="132"/>
      <c r="T201" s="144"/>
    </row>
    <row r="202" spans="1:20" hidden="1" x14ac:dyDescent="0.15">
      <c r="A202" s="1469"/>
      <c r="B202" s="7" t="s">
        <v>109</v>
      </c>
      <c r="D202" s="43">
        <f t="shared" si="26"/>
        <v>0</v>
      </c>
      <c r="F202" s="51"/>
      <c r="G202" s="50"/>
      <c r="H202" s="51"/>
      <c r="I202" s="50"/>
      <c r="J202" s="83"/>
      <c r="K202" s="130">
        <f>-(K203-K204)</f>
        <v>0</v>
      </c>
      <c r="L202" s="130"/>
      <c r="M202" s="130"/>
      <c r="N202" s="130"/>
      <c r="O202" s="130"/>
      <c r="P202" s="173"/>
      <c r="R202" s="132"/>
      <c r="T202" s="144"/>
    </row>
    <row r="203" spans="1:20" hidden="1" x14ac:dyDescent="0.15">
      <c r="A203" s="1469"/>
      <c r="B203" s="7" t="s">
        <v>110</v>
      </c>
      <c r="D203" s="43">
        <f t="shared" si="26"/>
        <v>0</v>
      </c>
      <c r="F203" s="51"/>
      <c r="G203" s="50"/>
      <c r="H203" s="51"/>
      <c r="I203" s="50"/>
      <c r="J203" s="83"/>
      <c r="K203" s="130"/>
      <c r="L203" s="130"/>
      <c r="M203" s="130"/>
      <c r="N203" s="130"/>
      <c r="O203" s="130"/>
      <c r="P203" s="173"/>
      <c r="R203" s="132"/>
      <c r="T203" s="144"/>
    </row>
    <row r="204" spans="1:20" hidden="1" x14ac:dyDescent="0.15">
      <c r="A204" s="1469"/>
      <c r="B204" s="7" t="s">
        <v>111</v>
      </c>
      <c r="D204" s="43">
        <f t="shared" si="26"/>
        <v>0</v>
      </c>
      <c r="F204" s="51"/>
      <c r="G204" s="50"/>
      <c r="H204" s="51"/>
      <c r="I204" s="50"/>
      <c r="J204" s="83"/>
      <c r="K204" s="130"/>
      <c r="L204" s="130"/>
      <c r="M204" s="130"/>
      <c r="N204" s="130"/>
      <c r="O204" s="130"/>
      <c r="P204" s="173"/>
      <c r="R204" s="132"/>
      <c r="T204" s="144"/>
    </row>
    <row r="205" spans="1:20" hidden="1" x14ac:dyDescent="0.15">
      <c r="A205" s="47" t="s">
        <v>176</v>
      </c>
      <c r="B205" s="7" t="s">
        <v>177</v>
      </c>
      <c r="C205" s="48"/>
      <c r="D205" s="43">
        <f t="shared" si="26"/>
        <v>0</v>
      </c>
      <c r="E205" s="49"/>
      <c r="F205" s="51"/>
      <c r="G205" s="50"/>
      <c r="H205" s="51"/>
      <c r="I205" s="50"/>
      <c r="J205" s="83"/>
      <c r="K205" s="184">
        <f>(-[2]俊发202302科目余额表!$O$152+[2]俊发202302科目余额表!$P$77)/10000</f>
        <v>3233.6061459999996</v>
      </c>
      <c r="L205" s="184"/>
      <c r="M205" s="184"/>
      <c r="N205" s="184"/>
      <c r="O205" s="184"/>
      <c r="P205" s="173"/>
      <c r="R205" s="132"/>
      <c r="T205" s="144"/>
    </row>
    <row r="206" spans="1:20" ht="13.5" hidden="1" x14ac:dyDescent="0.15">
      <c r="A206" s="17" t="s">
        <v>442</v>
      </c>
      <c r="B206" s="18"/>
      <c r="C206" s="19"/>
      <c r="D206" s="20"/>
      <c r="E206" s="20"/>
      <c r="F206" s="22"/>
      <c r="G206" s="22"/>
      <c r="H206" s="22"/>
      <c r="I206" s="22"/>
      <c r="J206" s="22"/>
      <c r="K206" s="108"/>
      <c r="L206" s="108"/>
      <c r="M206" s="108"/>
      <c r="N206" s="108"/>
      <c r="O206" s="108"/>
      <c r="P206" s="109"/>
      <c r="Q206" s="19"/>
      <c r="R206" s="94"/>
      <c r="S206" s="111"/>
      <c r="T206" s="140"/>
    </row>
    <row r="207" spans="1:20" ht="13.5" hidden="1" x14ac:dyDescent="0.15">
      <c r="A207" s="1497" t="s">
        <v>443</v>
      </c>
      <c r="B207" s="1498"/>
      <c r="C207" s="242"/>
      <c r="D207" s="243"/>
      <c r="E207" s="243"/>
      <c r="F207" s="245"/>
      <c r="G207" s="245"/>
      <c r="H207" s="245"/>
      <c r="I207" s="245"/>
      <c r="J207" s="245"/>
      <c r="K207" s="246"/>
      <c r="L207" s="246"/>
      <c r="M207" s="246"/>
      <c r="N207" s="246"/>
      <c r="O207" s="246"/>
      <c r="P207" s="247"/>
      <c r="Q207" s="242"/>
      <c r="R207" s="249"/>
      <c r="S207" s="241"/>
      <c r="T207" s="250"/>
    </row>
    <row r="208" spans="1:20" ht="13.5" hidden="1" customHeight="1" outlineLevel="2" x14ac:dyDescent="0.15">
      <c r="A208" s="47">
        <v>1</v>
      </c>
      <c r="B208" s="7" t="s">
        <v>139</v>
      </c>
      <c r="C208" s="48">
        <f>C161</f>
        <v>6731</v>
      </c>
      <c r="D208" s="43">
        <f t="shared" ref="D208:D212" si="27">C208/C$26*10000</f>
        <v>392.67733485791626</v>
      </c>
      <c r="E208" s="49"/>
      <c r="F208" s="51"/>
      <c r="G208" s="50"/>
      <c r="H208" s="51"/>
      <c r="I208" s="50"/>
      <c r="J208" s="83"/>
      <c r="P208" s="200">
        <f>5483.18720508+14</f>
        <v>5497.1872050800002</v>
      </c>
      <c r="Q208" s="266"/>
      <c r="R208" s="132" t="s">
        <v>444</v>
      </c>
      <c r="T208" s="144"/>
    </row>
    <row r="209" spans="1:20" ht="13.5" hidden="1" customHeight="1" outlineLevel="2" x14ac:dyDescent="0.15">
      <c r="A209" s="47">
        <v>2</v>
      </c>
      <c r="B209" s="7" t="s">
        <v>256</v>
      </c>
      <c r="C209" s="48">
        <f>C165</f>
        <v>3359</v>
      </c>
      <c r="D209" s="43">
        <f t="shared" si="27"/>
        <v>195.95946631819058</v>
      </c>
      <c r="E209" s="49"/>
      <c r="F209" s="51"/>
      <c r="G209" s="50"/>
      <c r="H209" s="51"/>
      <c r="I209" s="50"/>
      <c r="J209" s="83"/>
      <c r="P209" s="200"/>
      <c r="Q209" s="266"/>
      <c r="R209" s="132" t="s">
        <v>445</v>
      </c>
      <c r="T209" s="144"/>
    </row>
    <row r="210" spans="1:20" ht="13.5" hidden="1" customHeight="1" outlineLevel="2" x14ac:dyDescent="0.15">
      <c r="A210" s="47">
        <v>3</v>
      </c>
      <c r="B210" s="7" t="s">
        <v>417</v>
      </c>
      <c r="C210" s="48">
        <f>C156*20%</f>
        <v>7000</v>
      </c>
      <c r="D210" s="43">
        <f t="shared" si="27"/>
        <v>408.3704269804507</v>
      </c>
      <c r="E210" s="49" t="s">
        <v>446</v>
      </c>
      <c r="F210" s="51"/>
      <c r="G210" s="50"/>
      <c r="H210" s="51"/>
      <c r="I210" s="50"/>
      <c r="J210" s="83"/>
      <c r="P210" s="200">
        <v>0</v>
      </c>
      <c r="Q210" s="266"/>
      <c r="R210" s="132" t="s">
        <v>447</v>
      </c>
      <c r="T210" s="144"/>
    </row>
    <row r="211" spans="1:20" ht="13.5" hidden="1" customHeight="1" outlineLevel="2" x14ac:dyDescent="0.15">
      <c r="A211" s="47">
        <v>4</v>
      </c>
      <c r="B211" s="7" t="s">
        <v>193</v>
      </c>
      <c r="C211" s="48">
        <f>C173</f>
        <v>5683</v>
      </c>
      <c r="D211" s="43">
        <f t="shared" si="27"/>
        <v>331.53844807570022</v>
      </c>
      <c r="E211" s="49"/>
      <c r="F211" s="51"/>
      <c r="G211" s="50"/>
      <c r="H211" s="51"/>
      <c r="I211" s="50"/>
      <c r="J211" s="83"/>
      <c r="P211" s="200">
        <f>P171*0.2</f>
        <v>10478.461179088537</v>
      </c>
      <c r="Q211" s="266"/>
      <c r="R211" s="132" t="s">
        <v>448</v>
      </c>
      <c r="T211" s="144"/>
    </row>
    <row r="212" spans="1:20" ht="13.5" hidden="1" customHeight="1" outlineLevel="1" x14ac:dyDescent="0.15">
      <c r="A212" s="47" t="s">
        <v>40</v>
      </c>
      <c r="B212" s="7" t="s">
        <v>257</v>
      </c>
      <c r="C212" s="48">
        <f>C208+C209+C210+C211</f>
        <v>22773</v>
      </c>
      <c r="D212" s="43">
        <f t="shared" si="27"/>
        <v>1328.5456762322578</v>
      </c>
      <c r="E212" s="49" t="s">
        <v>449</v>
      </c>
      <c r="F212" s="51"/>
      <c r="G212" s="50"/>
      <c r="H212" s="51"/>
      <c r="I212" s="50"/>
      <c r="J212" s="83"/>
      <c r="P212" s="202">
        <f>SUM(P208:P211)</f>
        <v>15975.648384168537</v>
      </c>
      <c r="Q212" s="269"/>
      <c r="R212" s="132"/>
      <c r="T212" s="144"/>
    </row>
    <row r="213" spans="1:20" ht="13.5" hidden="1" customHeight="1" outlineLevel="3" x14ac:dyDescent="0.15">
      <c r="A213" s="47"/>
      <c r="B213" s="7" t="s">
        <v>450</v>
      </c>
      <c r="C213" s="48"/>
      <c r="D213" s="43"/>
      <c r="E213" s="49"/>
      <c r="F213" s="51"/>
      <c r="G213" s="50"/>
      <c r="H213" s="51"/>
      <c r="I213" s="50"/>
      <c r="J213" s="83"/>
      <c r="P213" s="215">
        <f>P142*1%</f>
        <v>2508.5252600000003</v>
      </c>
      <c r="Q213" s="268"/>
      <c r="R213" s="132" t="s">
        <v>451</v>
      </c>
      <c r="T213" s="144"/>
    </row>
    <row r="214" spans="1:20" ht="13.5" hidden="1" customHeight="1" outlineLevel="3" x14ac:dyDescent="0.15">
      <c r="A214" s="47"/>
      <c r="B214" s="7" t="s">
        <v>452</v>
      </c>
      <c r="C214" s="48"/>
      <c r="D214" s="43"/>
      <c r="E214" s="49"/>
      <c r="F214" s="51"/>
      <c r="G214" s="50"/>
      <c r="H214" s="51"/>
      <c r="I214" s="50"/>
      <c r="J214" s="83"/>
      <c r="P214" s="215">
        <f>P213-P215</f>
        <v>2383.0989970000005</v>
      </c>
      <c r="Q214" s="268"/>
      <c r="R214" s="132"/>
      <c r="T214" s="144"/>
    </row>
    <row r="215" spans="1:20" ht="13.5" hidden="1" customHeight="1" outlineLevel="2" x14ac:dyDescent="0.15">
      <c r="A215" s="47"/>
      <c r="B215" s="7" t="s">
        <v>453</v>
      </c>
      <c r="C215" s="48"/>
      <c r="D215" s="43"/>
      <c r="E215" s="49"/>
      <c r="F215" s="51"/>
      <c r="G215" s="50"/>
      <c r="H215" s="51"/>
      <c r="I215" s="50"/>
      <c r="J215" s="83"/>
      <c r="P215" s="215">
        <f>P213*5%</f>
        <v>125.42626300000002</v>
      </c>
      <c r="Q215" s="268"/>
      <c r="R215" s="132"/>
      <c r="T215" s="144"/>
    </row>
    <row r="216" spans="1:20" ht="13.5" hidden="1" customHeight="1" outlineLevel="2" x14ac:dyDescent="0.15">
      <c r="A216" s="47"/>
      <c r="B216" s="7" t="s">
        <v>454</v>
      </c>
      <c r="C216" s="48"/>
      <c r="D216" s="43"/>
      <c r="E216" s="49"/>
      <c r="F216" s="51"/>
      <c r="G216" s="50"/>
      <c r="H216" s="51"/>
      <c r="I216" s="50"/>
      <c r="J216" s="83"/>
      <c r="P216" s="215">
        <f>P212+P215</f>
        <v>16101.074647168536</v>
      </c>
      <c r="Q216" s="268"/>
      <c r="R216" s="132"/>
      <c r="T216" s="144"/>
    </row>
    <row r="217" spans="1:20" ht="13.5" hidden="1" customHeight="1" outlineLevel="2" x14ac:dyDescent="0.15">
      <c r="A217" s="47" t="s">
        <v>45</v>
      </c>
      <c r="B217" s="7" t="s">
        <v>258</v>
      </c>
      <c r="C217" s="48">
        <f>C137</f>
        <v>8750</v>
      </c>
      <c r="D217" s="43">
        <f t="shared" ref="D217:D219" si="28">C217/C$26*10000</f>
        <v>510.46303372556343</v>
      </c>
      <c r="E217" s="49"/>
      <c r="F217" s="51"/>
      <c r="G217" s="50"/>
      <c r="H217" s="51"/>
      <c r="I217" s="50"/>
      <c r="J217" s="83"/>
      <c r="P217" s="202">
        <v>12141.109425000001</v>
      </c>
      <c r="Q217" s="269"/>
      <c r="R217" s="132"/>
      <c r="T217" s="144"/>
    </row>
    <row r="218" spans="1:20" ht="13.5" hidden="1" customHeight="1" outlineLevel="2" x14ac:dyDescent="0.15">
      <c r="A218" s="47" t="s">
        <v>83</v>
      </c>
      <c r="B218" s="7" t="s">
        <v>261</v>
      </c>
      <c r="C218" s="48"/>
      <c r="D218" s="43">
        <f t="shared" si="28"/>
        <v>0</v>
      </c>
      <c r="E218" s="49"/>
      <c r="F218" s="51"/>
      <c r="G218" s="50"/>
      <c r="H218" s="51"/>
      <c r="I218" s="50"/>
      <c r="J218" s="83"/>
      <c r="P218" s="203">
        <f>P216/P217</f>
        <v>1.3261617273636042</v>
      </c>
      <c r="Q218" s="267"/>
      <c r="R218" s="132"/>
      <c r="T218" s="144"/>
    </row>
    <row r="219" spans="1:20" ht="13.5" hidden="1" customHeight="1" outlineLevel="2" x14ac:dyDescent="0.15">
      <c r="A219" s="47" t="s">
        <v>105</v>
      </c>
      <c r="B219" s="7" t="s">
        <v>421</v>
      </c>
      <c r="C219" s="221"/>
      <c r="D219" s="222">
        <f t="shared" si="28"/>
        <v>0</v>
      </c>
      <c r="E219" s="223"/>
      <c r="F219" s="51"/>
      <c r="G219" s="50"/>
      <c r="H219" s="51"/>
      <c r="I219" s="50"/>
      <c r="J219" s="83"/>
      <c r="P219" s="173"/>
      <c r="R219" s="132"/>
      <c r="T219" s="144"/>
    </row>
    <row r="220" spans="1:20" ht="13.5" hidden="1" collapsed="1" x14ac:dyDescent="0.15">
      <c r="A220" s="1497" t="s">
        <v>568</v>
      </c>
      <c r="B220" s="1498"/>
      <c r="C220" s="242"/>
      <c r="D220" s="243"/>
      <c r="E220" s="243"/>
      <c r="F220" s="245"/>
      <c r="G220" s="245"/>
      <c r="H220" s="245"/>
      <c r="I220" s="245"/>
      <c r="J220" s="245"/>
      <c r="K220" s="246"/>
      <c r="L220" s="246"/>
      <c r="M220" s="246"/>
      <c r="N220" s="246"/>
      <c r="O220" s="246"/>
      <c r="P220" s="247"/>
      <c r="Q220" s="242"/>
      <c r="R220" s="249"/>
      <c r="S220" s="241"/>
      <c r="T220" s="250"/>
    </row>
    <row r="221" spans="1:20" ht="13.5" hidden="1" customHeight="1" outlineLevel="2" x14ac:dyDescent="0.15">
      <c r="A221" s="47">
        <v>1</v>
      </c>
      <c r="B221" s="7" t="s">
        <v>86</v>
      </c>
      <c r="C221" s="48">
        <f>C154</f>
        <v>0</v>
      </c>
      <c r="D221" s="43">
        <f t="shared" ref="D221:D226" si="29">C221/C$26*10000</f>
        <v>0</v>
      </c>
      <c r="E221" s="49"/>
      <c r="F221" s="51"/>
      <c r="G221" s="50"/>
      <c r="H221" s="51"/>
      <c r="I221" s="50"/>
      <c r="J221" s="83"/>
      <c r="P221" s="200">
        <v>0</v>
      </c>
      <c r="Q221" s="266"/>
      <c r="R221" s="132"/>
      <c r="T221" s="144"/>
    </row>
    <row r="222" spans="1:20" ht="13.5" hidden="1" customHeight="1" outlineLevel="2" x14ac:dyDescent="0.15">
      <c r="A222" s="47">
        <v>2</v>
      </c>
      <c r="B222" s="7" t="s">
        <v>456</v>
      </c>
      <c r="C222" s="48">
        <f>C156*80%</f>
        <v>28000</v>
      </c>
      <c r="D222" s="43">
        <f t="shared" si="29"/>
        <v>1633.4817079218028</v>
      </c>
      <c r="E222" s="49"/>
      <c r="F222" s="51"/>
      <c r="G222" s="50"/>
      <c r="H222" s="51"/>
      <c r="I222" s="50"/>
      <c r="J222" s="83"/>
      <c r="P222" s="200">
        <v>35000</v>
      </c>
      <c r="Q222" s="266"/>
      <c r="R222" s="132"/>
      <c r="T222" s="144"/>
    </row>
    <row r="223" spans="1:20" ht="13.5" hidden="1" customHeight="1" outlineLevel="2" x14ac:dyDescent="0.15">
      <c r="A223" s="47">
        <v>3</v>
      </c>
      <c r="B223" s="7" t="s">
        <v>425</v>
      </c>
      <c r="C223" s="48">
        <f>C174</f>
        <v>22732</v>
      </c>
      <c r="D223" s="43">
        <f t="shared" si="29"/>
        <v>1326.1537923028009</v>
      </c>
      <c r="E223" s="49"/>
      <c r="F223" s="51"/>
      <c r="G223" s="50"/>
      <c r="H223" s="51"/>
      <c r="I223" s="50"/>
      <c r="J223" s="83"/>
      <c r="P223" s="200">
        <f>P174*0.8</f>
        <v>33531.075773083314</v>
      </c>
      <c r="Q223" s="266"/>
      <c r="R223" s="132"/>
      <c r="T223" s="144"/>
    </row>
    <row r="224" spans="1:20" ht="13.5" hidden="1" customHeight="1" outlineLevel="1" x14ac:dyDescent="0.15">
      <c r="A224" s="47" t="s">
        <v>40</v>
      </c>
      <c r="B224" s="7" t="s">
        <v>257</v>
      </c>
      <c r="C224" s="48">
        <f>C223+C222+C221</f>
        <v>50732</v>
      </c>
      <c r="D224" s="43">
        <f t="shared" si="29"/>
        <v>2959.6355002246037</v>
      </c>
      <c r="E224" s="49"/>
      <c r="F224" s="51"/>
      <c r="G224" s="50"/>
      <c r="H224" s="51"/>
      <c r="I224" s="50"/>
      <c r="J224" s="83"/>
      <c r="P224" s="200">
        <f>+P221+P222+P223</f>
        <v>68531.075773083314</v>
      </c>
      <c r="Q224" s="266"/>
      <c r="R224" s="132"/>
      <c r="T224" s="144"/>
    </row>
    <row r="225" spans="1:20" ht="13.5" hidden="1" customHeight="1" outlineLevel="2" x14ac:dyDescent="0.15">
      <c r="A225" s="47" t="s">
        <v>45</v>
      </c>
      <c r="B225" s="7" t="s">
        <v>258</v>
      </c>
      <c r="C225" s="48"/>
      <c r="D225" s="43">
        <f t="shared" si="29"/>
        <v>0</v>
      </c>
      <c r="E225" s="49"/>
      <c r="F225" s="51"/>
      <c r="G225" s="50"/>
      <c r="H225" s="51"/>
      <c r="I225" s="50"/>
      <c r="J225" s="83"/>
      <c r="P225" s="200" t="s">
        <v>302</v>
      </c>
      <c r="Q225" s="266"/>
      <c r="R225" s="132"/>
      <c r="T225" s="144"/>
    </row>
    <row r="226" spans="1:20" ht="13.5" hidden="1" customHeight="1" outlineLevel="2" x14ac:dyDescent="0.15">
      <c r="A226" s="47" t="s">
        <v>83</v>
      </c>
      <c r="B226" s="7" t="s">
        <v>261</v>
      </c>
      <c r="C226" s="48"/>
      <c r="D226" s="43">
        <f t="shared" si="29"/>
        <v>0</v>
      </c>
      <c r="E226" s="49"/>
      <c r="F226" s="51"/>
      <c r="G226" s="50"/>
      <c r="H226" s="51"/>
      <c r="I226" s="50"/>
      <c r="J226" s="83"/>
      <c r="P226" s="200" t="s">
        <v>302</v>
      </c>
      <c r="Q226" s="266"/>
      <c r="R226" s="132"/>
      <c r="T226" s="144"/>
    </row>
    <row r="227" spans="1:20" ht="13.5" hidden="1" customHeight="1" outlineLevel="2" x14ac:dyDescent="0.15">
      <c r="A227" s="224" t="s">
        <v>105</v>
      </c>
      <c r="B227" s="225" t="s">
        <v>421</v>
      </c>
      <c r="C227" s="226"/>
      <c r="D227" s="227"/>
      <c r="E227" s="228"/>
      <c r="F227" s="229"/>
      <c r="G227" s="230"/>
      <c r="H227" s="229"/>
      <c r="I227" s="230"/>
      <c r="J227" s="231"/>
      <c r="K227" s="89"/>
      <c r="L227" s="89"/>
      <c r="M227" s="89"/>
      <c r="N227" s="89"/>
      <c r="O227" s="89"/>
      <c r="P227" s="234" t="s">
        <v>302</v>
      </c>
      <c r="Q227" s="270"/>
      <c r="R227" s="236"/>
      <c r="S227" s="271"/>
      <c r="T227" s="239"/>
    </row>
    <row r="228" spans="1:20" collapsed="1" x14ac:dyDescent="0.15"/>
  </sheetData>
  <mergeCells count="66">
    <mergeCell ref="A141:B141"/>
    <mergeCell ref="A5:A7"/>
    <mergeCell ref="A8:A10"/>
    <mergeCell ref="A11:A33"/>
    <mergeCell ref="A34:A39"/>
    <mergeCell ref="A43:A45"/>
    <mergeCell ref="A207:B207"/>
    <mergeCell ref="A220:B220"/>
    <mergeCell ref="A188:A204"/>
    <mergeCell ref="C38:E38"/>
    <mergeCell ref="C39:E39"/>
    <mergeCell ref="C40:E40"/>
    <mergeCell ref="C41:E41"/>
    <mergeCell ref="A51:B51"/>
    <mergeCell ref="B36:B38"/>
    <mergeCell ref="A83:A86"/>
    <mergeCell ref="A87:A94"/>
    <mergeCell ref="A95:A111"/>
    <mergeCell ref="A176:A179"/>
    <mergeCell ref="A180:A187"/>
    <mergeCell ref="A114:B114"/>
    <mergeCell ref="A132:B132"/>
    <mergeCell ref="C33:E33"/>
    <mergeCell ref="C34:E34"/>
    <mergeCell ref="C35:E35"/>
    <mergeCell ref="C36:E36"/>
    <mergeCell ref="C37:E37"/>
    <mergeCell ref="C28:E28"/>
    <mergeCell ref="C29:E29"/>
    <mergeCell ref="C30:E30"/>
    <mergeCell ref="C31:E31"/>
    <mergeCell ref="C32:E32"/>
    <mergeCell ref="C23:E23"/>
    <mergeCell ref="C24:E24"/>
    <mergeCell ref="C25:E25"/>
    <mergeCell ref="C26:E26"/>
    <mergeCell ref="C27:E27"/>
    <mergeCell ref="C18:E18"/>
    <mergeCell ref="C19:E19"/>
    <mergeCell ref="C20:E20"/>
    <mergeCell ref="C21:E21"/>
    <mergeCell ref="C22:E22"/>
    <mergeCell ref="C13:E13"/>
    <mergeCell ref="C14:E14"/>
    <mergeCell ref="C15:E15"/>
    <mergeCell ref="C16:E16"/>
    <mergeCell ref="C17:E17"/>
    <mergeCell ref="C8:E8"/>
    <mergeCell ref="C9:E9"/>
    <mergeCell ref="C10:E10"/>
    <mergeCell ref="C11:E11"/>
    <mergeCell ref="C12:E12"/>
    <mergeCell ref="C5:E5"/>
    <mergeCell ref="P5:R5"/>
    <mergeCell ref="C6:E6"/>
    <mergeCell ref="P6:R6"/>
    <mergeCell ref="C7:E7"/>
    <mergeCell ref="P7:R7"/>
    <mergeCell ref="A1:H1"/>
    <mergeCell ref="A2:E2"/>
    <mergeCell ref="P2:R2"/>
    <mergeCell ref="S2:T2"/>
    <mergeCell ref="A3:B3"/>
    <mergeCell ref="C3:E3"/>
    <mergeCell ref="K3:O3"/>
    <mergeCell ref="P3:Q3"/>
  </mergeCells>
  <phoneticPr fontId="62"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AG244"/>
  <sheetViews>
    <sheetView zoomScale="80" zoomScaleNormal="80" workbookViewId="0">
      <pane xSplit="5" ySplit="4" topLeftCell="F113" activePane="bottomRight" state="frozen"/>
      <selection pane="topRight"/>
      <selection pane="bottomLeft"/>
      <selection pane="bottomRight" activeCell="W45" sqref="W45"/>
    </sheetView>
  </sheetViews>
  <sheetFormatPr defaultColWidth="9.75" defaultRowHeight="14.25" outlineLevelRow="3" outlineLevelCol="2" x14ac:dyDescent="0.15"/>
  <cols>
    <col min="1" max="1" width="11" style="6" customWidth="1"/>
    <col min="2" max="2" width="35.5" style="7" customWidth="1"/>
    <col min="3" max="3" width="16.5" style="8" customWidth="1"/>
    <col min="4" max="4" width="13.25" style="9" customWidth="1"/>
    <col min="5" max="5" width="15.125" style="9" hidden="1" customWidth="1" outlineLevel="1"/>
    <col min="6" max="6" width="47.25" style="8" hidden="1" customWidth="1" outlineLevel="1"/>
    <col min="7" max="7" width="66.75" style="9" hidden="1" customWidth="1" outlineLevel="1"/>
    <col min="8" max="8" width="47.25" style="8" hidden="1" customWidth="1" outlineLevel="1"/>
    <col min="9" max="9" width="45.375" style="10" hidden="1" customWidth="1" outlineLevel="1"/>
    <col min="10" max="11" width="19.125" style="11" hidden="1" customWidth="1" outlineLevel="1"/>
    <col min="12" max="12" width="21.375" style="11" hidden="1" customWidth="1" outlineLevel="2"/>
    <col min="13" max="13" width="24.625" style="11" hidden="1" customWidth="1" outlineLevel="2"/>
    <col min="14" max="14" width="21.875" style="11" hidden="1" customWidth="1" outlineLevel="2"/>
    <col min="15" max="15" width="19.125" style="11" hidden="1" customWidth="1" outlineLevel="2"/>
    <col min="16" max="16" width="12.25" style="11" hidden="1" customWidth="1" outlineLevel="1" collapsed="1"/>
    <col min="17" max="17" width="17.5" style="12" customWidth="1" collapsed="1"/>
    <col min="18" max="18" width="17.5" style="12" customWidth="1"/>
    <col min="19" max="19" width="14.875" style="12" customWidth="1"/>
    <col min="20" max="20" width="12.25" style="12" customWidth="1"/>
    <col min="21" max="22" width="14.875" style="12" customWidth="1"/>
    <col min="23" max="23" width="32.625" style="8" customWidth="1"/>
    <col min="24" max="24" width="18.25" customWidth="1"/>
    <col min="25" max="25" width="13.625" customWidth="1"/>
    <col min="26" max="29" width="14.375" customWidth="1"/>
    <col min="30" max="31" width="23.5" style="13" customWidth="1"/>
    <col min="32" max="32" width="14.375" style="13" customWidth="1"/>
    <col min="33" max="35" width="21.5" style="9" customWidth="1"/>
    <col min="36" max="16384" width="9.75" style="9"/>
  </cols>
  <sheetData>
    <row r="1" spans="1:33" ht="38.1" customHeight="1" x14ac:dyDescent="0.15">
      <c r="A1" s="1483" t="s">
        <v>569</v>
      </c>
      <c r="B1" s="1483"/>
      <c r="C1" s="1483"/>
      <c r="D1" s="1483"/>
      <c r="E1" s="1483"/>
      <c r="F1" s="1483"/>
      <c r="G1" s="1483"/>
      <c r="H1" s="1483"/>
      <c r="Q1" s="89"/>
      <c r="U1"/>
      <c r="V1"/>
      <c r="X1" s="13"/>
      <c r="Y1" s="13"/>
      <c r="Z1" s="13"/>
      <c r="AA1" s="13"/>
      <c r="AB1" s="13"/>
      <c r="AC1" s="13"/>
      <c r="AE1" s="9"/>
      <c r="AF1" s="9"/>
    </row>
    <row r="2" spans="1:33" customFormat="1" ht="32.1" customHeight="1" x14ac:dyDescent="0.15">
      <c r="A2" s="1484" t="s">
        <v>570</v>
      </c>
      <c r="B2" s="1485"/>
      <c r="C2" s="1485"/>
      <c r="D2" s="1485"/>
      <c r="E2" s="1485"/>
      <c r="F2" s="15" t="s">
        <v>571</v>
      </c>
      <c r="G2" s="14" t="s">
        <v>572</v>
      </c>
      <c r="H2" s="15" t="s">
        <v>573</v>
      </c>
      <c r="I2" s="15" t="s">
        <v>574</v>
      </c>
      <c r="J2" s="73"/>
      <c r="K2" s="73"/>
      <c r="L2" s="73"/>
      <c r="M2" s="73"/>
      <c r="N2" s="73"/>
      <c r="O2" s="73"/>
      <c r="P2" s="73"/>
      <c r="Q2" s="90"/>
      <c r="R2" s="90"/>
      <c r="S2" s="90"/>
      <c r="T2" s="90"/>
      <c r="U2" s="1484" t="s">
        <v>281</v>
      </c>
      <c r="V2" s="1485"/>
      <c r="W2" s="1486"/>
      <c r="X2" s="1450" t="s">
        <v>575</v>
      </c>
      <c r="Y2" s="1450"/>
      <c r="Z2" s="1450"/>
      <c r="AA2" s="1450"/>
      <c r="AB2" s="1450"/>
      <c r="AC2" s="1450"/>
      <c r="AD2" s="1451"/>
      <c r="AE2" t="s">
        <v>283</v>
      </c>
    </row>
    <row r="3" spans="1:33" s="1" customFormat="1" ht="29.65" customHeight="1" x14ac:dyDescent="0.15">
      <c r="A3" s="1487" t="s">
        <v>284</v>
      </c>
      <c r="B3" s="1488"/>
      <c r="C3" s="1489">
        <v>44224</v>
      </c>
      <c r="D3" s="1490"/>
      <c r="E3" s="1490"/>
      <c r="F3" s="16" t="s">
        <v>285</v>
      </c>
      <c r="G3" s="16" t="s">
        <v>285</v>
      </c>
      <c r="H3" s="16" t="s">
        <v>285</v>
      </c>
      <c r="I3" s="16" t="s">
        <v>495</v>
      </c>
      <c r="J3" s="1503" t="s">
        <v>17</v>
      </c>
      <c r="K3" s="1503"/>
      <c r="L3" s="1503"/>
      <c r="M3" s="1503"/>
      <c r="N3" s="1503"/>
      <c r="O3" s="1503"/>
      <c r="P3" s="1503"/>
      <c r="Q3" s="1503"/>
      <c r="R3" s="1503"/>
      <c r="S3" s="1503"/>
      <c r="T3" s="1504"/>
      <c r="U3" s="1492" t="s">
        <v>496</v>
      </c>
      <c r="V3" s="1493"/>
      <c r="W3" s="91" t="s">
        <v>497</v>
      </c>
      <c r="X3" s="92" t="s">
        <v>576</v>
      </c>
      <c r="Y3" s="92"/>
      <c r="Z3" s="92"/>
      <c r="AA3" s="92"/>
      <c r="AB3" s="1505" t="s">
        <v>577</v>
      </c>
      <c r="AC3" s="1505"/>
      <c r="AD3" s="137" t="s">
        <v>290</v>
      </c>
      <c r="AF3" s="9" t="s">
        <v>578</v>
      </c>
    </row>
    <row r="4" spans="1:33" ht="16.899999999999999" customHeight="1" x14ac:dyDescent="0.15">
      <c r="A4" s="17" t="s">
        <v>291</v>
      </c>
      <c r="B4" s="18"/>
      <c r="C4" s="19"/>
      <c r="D4" s="20"/>
      <c r="E4" s="20"/>
      <c r="F4" s="21"/>
      <c r="G4" s="22"/>
      <c r="H4" s="21"/>
      <c r="I4" s="74"/>
      <c r="J4" s="75" t="s">
        <v>579</v>
      </c>
      <c r="K4" s="75" t="s">
        <v>580</v>
      </c>
      <c r="L4" s="75"/>
      <c r="M4" s="75"/>
      <c r="N4" s="75"/>
      <c r="O4" s="75"/>
      <c r="P4" s="75"/>
      <c r="Q4" s="93"/>
      <c r="R4" s="93"/>
      <c r="S4" s="93"/>
      <c r="T4" s="93"/>
      <c r="U4" s="21"/>
      <c r="V4" s="19"/>
      <c r="W4" s="94"/>
      <c r="X4" s="95"/>
      <c r="Y4" s="95"/>
      <c r="Z4" s="95"/>
      <c r="AA4" s="95"/>
      <c r="AB4" s="95"/>
      <c r="AC4" s="95"/>
      <c r="AD4" s="138"/>
      <c r="AE4" s="9"/>
      <c r="AF4" s="9" t="s">
        <v>43</v>
      </c>
      <c r="AG4" s="9" t="s">
        <v>550</v>
      </c>
    </row>
    <row r="5" spans="1:33" s="2" customFormat="1" ht="14.45" customHeight="1" x14ac:dyDescent="0.3">
      <c r="A5" s="1468" t="s">
        <v>292</v>
      </c>
      <c r="B5" s="24" t="s">
        <v>293</v>
      </c>
      <c r="C5" s="1459" t="s">
        <v>581</v>
      </c>
      <c r="D5" s="1459"/>
      <c r="E5" s="1459"/>
      <c r="F5" s="26" t="s">
        <v>581</v>
      </c>
      <c r="G5" s="26" t="s">
        <v>581</v>
      </c>
      <c r="H5" s="26" t="s">
        <v>581</v>
      </c>
      <c r="I5" s="26" t="s">
        <v>581</v>
      </c>
      <c r="J5" s="76"/>
      <c r="K5" s="76"/>
      <c r="L5" s="76"/>
      <c r="M5" s="76"/>
      <c r="N5" s="76"/>
      <c r="O5" s="76"/>
      <c r="P5" s="76"/>
      <c r="Q5" s="96"/>
      <c r="R5" s="96"/>
      <c r="S5" s="96"/>
      <c r="T5" s="96"/>
      <c r="U5" s="1494"/>
      <c r="V5" s="1459"/>
      <c r="W5" s="1495"/>
      <c r="X5" s="97"/>
      <c r="Y5" s="97"/>
      <c r="Z5" s="97"/>
      <c r="AA5" s="97"/>
      <c r="AB5" s="97"/>
      <c r="AC5" s="97"/>
      <c r="AD5" s="139"/>
    </row>
    <row r="6" spans="1:33" s="2" customFormat="1" ht="14.45" customHeight="1" x14ac:dyDescent="0.3">
      <c r="A6" s="1468"/>
      <c r="B6" s="25" t="s">
        <v>295</v>
      </c>
      <c r="C6" s="1459" t="s">
        <v>582</v>
      </c>
      <c r="D6" s="1459"/>
      <c r="E6" s="1459"/>
      <c r="F6" s="26" t="s">
        <v>582</v>
      </c>
      <c r="G6" s="26" t="s">
        <v>582</v>
      </c>
      <c r="H6" s="26" t="s">
        <v>582</v>
      </c>
      <c r="I6" s="26" t="s">
        <v>582</v>
      </c>
      <c r="J6" s="76"/>
      <c r="K6" s="76"/>
      <c r="L6" s="76"/>
      <c r="M6" s="76"/>
      <c r="N6" s="76"/>
      <c r="O6" s="76"/>
      <c r="P6" s="76"/>
      <c r="Q6" s="96"/>
      <c r="R6" s="96"/>
      <c r="S6" s="96"/>
      <c r="T6" s="96"/>
      <c r="U6" s="1494"/>
      <c r="V6" s="1459"/>
      <c r="W6" s="1495"/>
      <c r="X6" s="97"/>
      <c r="Y6" s="97"/>
      <c r="Z6" s="97"/>
      <c r="AA6" s="97"/>
      <c r="AB6" s="97"/>
      <c r="AC6" s="97"/>
      <c r="AD6" s="139"/>
    </row>
    <row r="7" spans="1:33" s="2" customFormat="1" ht="14.45" customHeight="1" x14ac:dyDescent="0.3">
      <c r="A7" s="1468"/>
      <c r="B7" s="25" t="s">
        <v>297</v>
      </c>
      <c r="C7" s="1459" t="s">
        <v>583</v>
      </c>
      <c r="D7" s="1459"/>
      <c r="E7" s="1459"/>
      <c r="F7" s="26" t="s">
        <v>584</v>
      </c>
      <c r="G7" s="26" t="s">
        <v>584</v>
      </c>
      <c r="H7" s="26" t="s">
        <v>584</v>
      </c>
      <c r="I7" s="26" t="s">
        <v>584</v>
      </c>
      <c r="J7" s="76"/>
      <c r="K7" s="76"/>
      <c r="L7" s="76"/>
      <c r="M7" s="76"/>
      <c r="N7" s="76"/>
      <c r="O7" s="76"/>
      <c r="P7" s="76"/>
      <c r="Q7" s="96"/>
      <c r="R7" s="96"/>
      <c r="S7" s="96"/>
      <c r="T7" s="96"/>
      <c r="U7" s="1494"/>
      <c r="V7" s="1459"/>
      <c r="W7" s="1495"/>
      <c r="X7" s="97"/>
      <c r="Y7" s="97"/>
      <c r="Z7" s="97"/>
      <c r="AA7" s="97"/>
      <c r="AB7" s="97"/>
      <c r="AC7" s="97"/>
      <c r="AD7" s="139"/>
    </row>
    <row r="8" spans="1:33" s="2" customFormat="1" ht="54.75" customHeight="1" x14ac:dyDescent="0.3">
      <c r="A8" s="1468" t="s">
        <v>301</v>
      </c>
      <c r="B8" s="25" t="s">
        <v>302</v>
      </c>
      <c r="C8" s="1459" t="s">
        <v>302</v>
      </c>
      <c r="D8" s="1459"/>
      <c r="E8" s="1459"/>
      <c r="F8" s="26" t="s">
        <v>504</v>
      </c>
      <c r="G8" s="26" t="s">
        <v>504</v>
      </c>
      <c r="H8" s="26" t="s">
        <v>504</v>
      </c>
      <c r="I8" s="26" t="s">
        <v>504</v>
      </c>
      <c r="J8" s="76"/>
      <c r="K8" s="76"/>
      <c r="L8" s="76"/>
      <c r="M8" s="76"/>
      <c r="N8" s="76"/>
      <c r="O8" s="76"/>
      <c r="P8" s="76"/>
      <c r="Q8" s="96"/>
      <c r="R8" s="96"/>
      <c r="S8" s="96"/>
      <c r="T8" s="96"/>
      <c r="U8" s="34"/>
      <c r="V8" s="98"/>
      <c r="W8" s="99" t="s">
        <v>304</v>
      </c>
      <c r="X8" s="97"/>
      <c r="Y8" s="97"/>
      <c r="Z8" s="97"/>
      <c r="AA8" s="97"/>
      <c r="AB8" s="97"/>
      <c r="AC8" s="97"/>
      <c r="AD8" s="139"/>
    </row>
    <row r="9" spans="1:33" s="2" customFormat="1" ht="55.9" customHeight="1" x14ac:dyDescent="0.3">
      <c r="A9" s="1468"/>
      <c r="B9" s="25" t="s">
        <v>302</v>
      </c>
      <c r="C9" s="1459" t="s">
        <v>302</v>
      </c>
      <c r="D9" s="1459"/>
      <c r="E9" s="1459"/>
      <c r="F9" s="26" t="s">
        <v>585</v>
      </c>
      <c r="G9" s="26" t="s">
        <v>585</v>
      </c>
      <c r="H9" s="26" t="s">
        <v>585</v>
      </c>
      <c r="I9" s="26" t="s">
        <v>586</v>
      </c>
      <c r="J9" s="76"/>
      <c r="K9" s="76"/>
      <c r="L9" s="76"/>
      <c r="M9" s="76"/>
      <c r="N9" s="76"/>
      <c r="O9" s="76"/>
      <c r="P9" s="76"/>
      <c r="Q9" s="96"/>
      <c r="R9" s="96"/>
      <c r="S9" s="96"/>
      <c r="T9" s="96"/>
      <c r="U9" s="34"/>
      <c r="V9" s="98"/>
      <c r="W9" s="99" t="s">
        <v>506</v>
      </c>
      <c r="X9" s="97"/>
      <c r="Y9" s="97"/>
      <c r="Z9" s="97"/>
      <c r="AA9" s="97"/>
      <c r="AB9" s="97"/>
      <c r="AC9" s="97"/>
      <c r="AD9" s="139"/>
    </row>
    <row r="10" spans="1:33" s="2" customFormat="1" ht="42.4" customHeight="1" x14ac:dyDescent="0.3">
      <c r="A10" s="1468"/>
      <c r="B10" s="25" t="s">
        <v>302</v>
      </c>
      <c r="C10" s="1459" t="s">
        <v>302</v>
      </c>
      <c r="D10" s="1459"/>
      <c r="E10" s="1459"/>
      <c r="F10" s="26" t="s">
        <v>587</v>
      </c>
      <c r="G10" s="26" t="s">
        <v>587</v>
      </c>
      <c r="H10" s="26" t="s">
        <v>587</v>
      </c>
      <c r="I10" s="26" t="s">
        <v>508</v>
      </c>
      <c r="J10" s="76"/>
      <c r="K10" s="76"/>
      <c r="L10" s="76"/>
      <c r="M10" s="76"/>
      <c r="N10" s="76"/>
      <c r="O10" s="76"/>
      <c r="P10" s="76"/>
      <c r="Q10" s="96"/>
      <c r="R10" s="96"/>
      <c r="S10" s="96"/>
      <c r="T10" s="96"/>
      <c r="U10" s="34"/>
      <c r="V10" s="98"/>
      <c r="W10" s="99" t="s">
        <v>509</v>
      </c>
      <c r="X10" s="97"/>
      <c r="Y10" s="97"/>
      <c r="Z10" s="97"/>
      <c r="AA10" s="97"/>
      <c r="AB10" s="97"/>
      <c r="AC10" s="97"/>
      <c r="AD10" s="139"/>
    </row>
    <row r="11" spans="1:33" s="2" customFormat="1" ht="14.45" customHeight="1" x14ac:dyDescent="0.3">
      <c r="A11" s="1468" t="s">
        <v>310</v>
      </c>
      <c r="B11" s="25" t="s">
        <v>311</v>
      </c>
      <c r="C11" s="1460">
        <v>40787</v>
      </c>
      <c r="D11" s="1460"/>
      <c r="E11" s="1460"/>
      <c r="F11" s="26" t="s">
        <v>302</v>
      </c>
      <c r="G11" s="27"/>
      <c r="H11" s="26"/>
      <c r="I11" s="77"/>
      <c r="J11" s="78"/>
      <c r="K11" s="78"/>
      <c r="L11" s="78"/>
      <c r="M11" s="78"/>
      <c r="N11" s="78"/>
      <c r="O11" s="78"/>
      <c r="P11" s="78"/>
      <c r="Q11" s="96"/>
      <c r="R11" s="96"/>
      <c r="S11" s="96"/>
      <c r="T11" s="96"/>
      <c r="U11" s="34"/>
      <c r="V11" s="98"/>
      <c r="W11" s="100">
        <v>40787</v>
      </c>
      <c r="X11" s="97"/>
      <c r="Y11" s="97"/>
      <c r="Z11" s="97"/>
      <c r="AA11" s="97"/>
      <c r="AB11" s="97"/>
      <c r="AC11" s="97"/>
      <c r="AD11" s="139"/>
    </row>
    <row r="12" spans="1:33" s="2" customFormat="1" ht="14.45" customHeight="1" x14ac:dyDescent="0.3">
      <c r="A12" s="1468"/>
      <c r="B12" s="25" t="s">
        <v>312</v>
      </c>
      <c r="C12" s="1459"/>
      <c r="D12" s="1459"/>
      <c r="E12" s="1459"/>
      <c r="F12" s="26" t="s">
        <v>302</v>
      </c>
      <c r="G12" s="27"/>
      <c r="H12" s="26"/>
      <c r="I12" s="77"/>
      <c r="J12" s="78"/>
      <c r="K12" s="78"/>
      <c r="L12" s="78"/>
      <c r="M12" s="78"/>
      <c r="N12" s="78"/>
      <c r="O12" s="78"/>
      <c r="P12" s="78"/>
      <c r="Q12" s="96"/>
      <c r="R12" s="96"/>
      <c r="S12" s="96"/>
      <c r="T12" s="96"/>
      <c r="U12" s="34"/>
      <c r="V12" s="98"/>
      <c r="W12" s="100">
        <v>44028</v>
      </c>
      <c r="X12" s="97"/>
      <c r="Y12" s="97"/>
      <c r="Z12" s="97"/>
      <c r="AA12" s="97"/>
      <c r="AB12" s="97"/>
      <c r="AC12" s="97"/>
      <c r="AD12" s="139"/>
    </row>
    <row r="13" spans="1:33" s="2" customFormat="1" ht="14.45" customHeight="1" x14ac:dyDescent="0.3">
      <c r="A13" s="1468"/>
      <c r="B13" s="25" t="s">
        <v>313</v>
      </c>
      <c r="C13" s="1460"/>
      <c r="D13" s="1460"/>
      <c r="E13" s="1460"/>
      <c r="F13" s="26" t="s">
        <v>302</v>
      </c>
      <c r="G13" s="27"/>
      <c r="H13" s="26"/>
      <c r="I13" s="77"/>
      <c r="J13" s="78"/>
      <c r="K13" s="78"/>
      <c r="L13" s="78"/>
      <c r="M13" s="78"/>
      <c r="N13" s="78"/>
      <c r="O13" s="78"/>
      <c r="P13" s="78"/>
      <c r="Q13" s="96"/>
      <c r="R13" s="96"/>
      <c r="S13" s="96"/>
      <c r="T13" s="96"/>
      <c r="U13" s="34"/>
      <c r="V13" s="98"/>
      <c r="W13" s="100">
        <v>44063</v>
      </c>
      <c r="X13" s="97"/>
      <c r="Y13" s="97"/>
      <c r="Z13" s="97"/>
      <c r="AA13" s="97"/>
      <c r="AB13" s="97"/>
      <c r="AC13" s="97"/>
      <c r="AD13" s="139"/>
    </row>
    <row r="14" spans="1:33" s="2" customFormat="1" ht="14.45" customHeight="1" x14ac:dyDescent="0.3">
      <c r="A14" s="1468"/>
      <c r="B14" s="25" t="s">
        <v>314</v>
      </c>
      <c r="C14" s="1506">
        <v>44166</v>
      </c>
      <c r="D14" s="1506"/>
      <c r="E14" s="1506"/>
      <c r="F14" s="26" t="s">
        <v>302</v>
      </c>
      <c r="G14" s="27"/>
      <c r="H14" s="26"/>
      <c r="I14" s="77"/>
      <c r="J14" s="78"/>
      <c r="K14" s="78"/>
      <c r="L14" s="78"/>
      <c r="M14" s="78"/>
      <c r="N14" s="78"/>
      <c r="O14" s="78"/>
      <c r="P14" s="78"/>
      <c r="Q14" s="96"/>
      <c r="R14" s="96"/>
      <c r="S14" s="96"/>
      <c r="T14" s="96"/>
      <c r="U14" s="34"/>
      <c r="V14" s="98"/>
      <c r="W14" s="100">
        <v>44166</v>
      </c>
      <c r="X14" s="97"/>
      <c r="Y14" s="97"/>
      <c r="Z14" s="97"/>
      <c r="AA14" s="97"/>
      <c r="AB14" s="97"/>
      <c r="AC14" s="97"/>
      <c r="AD14" s="139"/>
    </row>
    <row r="15" spans="1:33" s="2" customFormat="1" ht="14.45" customHeight="1" x14ac:dyDescent="0.3">
      <c r="A15" s="1468"/>
      <c r="B15" s="25" t="s">
        <v>315</v>
      </c>
      <c r="C15" s="1506"/>
      <c r="D15" s="1506"/>
      <c r="E15" s="1506"/>
      <c r="F15" s="26" t="s">
        <v>302</v>
      </c>
      <c r="G15" s="27"/>
      <c r="H15" s="26"/>
      <c r="I15" s="77"/>
      <c r="J15" s="78"/>
      <c r="K15" s="78"/>
      <c r="L15" s="78"/>
      <c r="M15" s="78"/>
      <c r="N15" s="78"/>
      <c r="O15" s="78"/>
      <c r="P15" s="78"/>
      <c r="Q15" s="96"/>
      <c r="R15" s="96"/>
      <c r="S15" s="96"/>
      <c r="T15" s="96"/>
      <c r="U15" s="34"/>
      <c r="V15" s="98"/>
      <c r="W15" s="99"/>
      <c r="X15" s="97"/>
      <c r="Y15" s="97"/>
      <c r="Z15" s="97"/>
      <c r="AA15" s="97"/>
      <c r="AB15" s="97"/>
      <c r="AC15" s="97"/>
      <c r="AD15" s="139"/>
    </row>
    <row r="16" spans="1:33" s="2" customFormat="1" ht="14.45" customHeight="1" x14ac:dyDescent="0.3">
      <c r="A16" s="1468"/>
      <c r="B16" s="25" t="s">
        <v>316</v>
      </c>
      <c r="C16" s="1506">
        <v>44356</v>
      </c>
      <c r="D16" s="1506"/>
      <c r="E16" s="1506"/>
      <c r="F16" s="26" t="s">
        <v>302</v>
      </c>
      <c r="G16" s="27"/>
      <c r="H16" s="26"/>
      <c r="I16" s="77"/>
      <c r="J16" s="78"/>
      <c r="K16" s="78"/>
      <c r="L16" s="78"/>
      <c r="M16" s="78"/>
      <c r="N16" s="78"/>
      <c r="O16" s="78"/>
      <c r="P16" s="78"/>
      <c r="Q16" s="96"/>
      <c r="R16" s="96"/>
      <c r="S16" s="96"/>
      <c r="T16" s="96"/>
      <c r="U16" s="34"/>
      <c r="V16" s="98"/>
      <c r="W16" s="99"/>
      <c r="X16" s="97"/>
      <c r="Y16" s="97"/>
      <c r="Z16" s="97"/>
      <c r="AA16" s="97"/>
      <c r="AB16" s="97"/>
      <c r="AC16" s="97"/>
      <c r="AD16" s="139"/>
    </row>
    <row r="17" spans="1:30" s="2" customFormat="1" ht="14.45" customHeight="1" x14ac:dyDescent="0.3">
      <c r="A17" s="1468"/>
      <c r="B17" s="25" t="s">
        <v>317</v>
      </c>
      <c r="C17" s="1506">
        <v>44446</v>
      </c>
      <c r="D17" s="1506"/>
      <c r="E17" s="1506"/>
      <c r="F17" s="26" t="s">
        <v>302</v>
      </c>
      <c r="G17" s="27"/>
      <c r="H17" s="26"/>
      <c r="I17" s="77"/>
      <c r="J17" s="78"/>
      <c r="K17" s="78"/>
      <c r="L17" s="78"/>
      <c r="M17" s="78"/>
      <c r="N17" s="78"/>
      <c r="O17" s="78"/>
      <c r="P17" s="78"/>
      <c r="Q17" s="96"/>
      <c r="R17" s="96"/>
      <c r="S17" s="96"/>
      <c r="T17" s="96"/>
      <c r="U17" s="34"/>
      <c r="V17" s="98"/>
      <c r="W17" s="101">
        <v>44468</v>
      </c>
      <c r="X17" s="97"/>
      <c r="Y17" s="97"/>
      <c r="Z17" s="97"/>
      <c r="AA17" s="97"/>
      <c r="AB17" s="97"/>
      <c r="AC17" s="97"/>
      <c r="AD17" s="139"/>
    </row>
    <row r="18" spans="1:30" s="2" customFormat="1" ht="14.45" customHeight="1" x14ac:dyDescent="0.3">
      <c r="A18" s="1468"/>
      <c r="B18" s="25" t="s">
        <v>318</v>
      </c>
      <c r="C18" s="1506">
        <v>44451</v>
      </c>
      <c r="D18" s="1506"/>
      <c r="E18" s="1506"/>
      <c r="F18" s="26" t="s">
        <v>302</v>
      </c>
      <c r="G18" s="27"/>
      <c r="H18" s="26"/>
      <c r="I18" s="77"/>
      <c r="J18" s="78"/>
      <c r="K18" s="78"/>
      <c r="L18" s="78"/>
      <c r="M18" s="78"/>
      <c r="N18" s="78"/>
      <c r="O18" s="78"/>
      <c r="P18" s="78"/>
      <c r="Q18" s="96"/>
      <c r="R18" s="96"/>
      <c r="S18" s="96"/>
      <c r="T18" s="96"/>
      <c r="U18" s="34"/>
      <c r="V18" s="98"/>
      <c r="W18" s="100">
        <v>44468</v>
      </c>
      <c r="X18" s="97"/>
      <c r="Y18" s="97"/>
      <c r="Z18" s="97"/>
      <c r="AA18" s="97"/>
      <c r="AB18" s="97"/>
      <c r="AC18" s="97"/>
      <c r="AD18" s="139"/>
    </row>
    <row r="19" spans="1:30" s="2" customFormat="1" ht="14.45" customHeight="1" x14ac:dyDescent="0.3">
      <c r="A19" s="1468"/>
      <c r="B19" s="25" t="s">
        <v>319</v>
      </c>
      <c r="C19" s="1506">
        <v>44531</v>
      </c>
      <c r="D19" s="1506"/>
      <c r="E19" s="1506"/>
      <c r="F19" s="26" t="s">
        <v>302</v>
      </c>
      <c r="G19" s="27"/>
      <c r="H19" s="26"/>
      <c r="I19" s="77"/>
      <c r="J19" s="78"/>
      <c r="K19" s="78"/>
      <c r="L19" s="78"/>
      <c r="M19" s="78"/>
      <c r="N19" s="78"/>
      <c r="O19" s="78"/>
      <c r="P19" s="78"/>
      <c r="Q19" s="96"/>
      <c r="R19" s="96"/>
      <c r="S19" s="96"/>
      <c r="T19" s="96"/>
      <c r="U19" s="34"/>
      <c r="V19" s="98"/>
      <c r="W19" s="102">
        <v>44574</v>
      </c>
      <c r="X19" s="97"/>
      <c r="Y19" s="97"/>
      <c r="Z19" s="97"/>
      <c r="AA19" s="97"/>
      <c r="AB19" s="97"/>
      <c r="AC19" s="97"/>
      <c r="AD19" s="139"/>
    </row>
    <row r="20" spans="1:30" s="2" customFormat="1" ht="14.45" customHeight="1" x14ac:dyDescent="0.3">
      <c r="A20" s="1468"/>
      <c r="B20" s="25" t="s">
        <v>320</v>
      </c>
      <c r="C20" s="1460">
        <v>44864</v>
      </c>
      <c r="D20" s="1460"/>
      <c r="E20" s="1460"/>
      <c r="F20" s="26" t="s">
        <v>302</v>
      </c>
      <c r="G20" s="27"/>
      <c r="H20" s="26"/>
      <c r="I20" s="77"/>
      <c r="J20" s="78"/>
      <c r="K20" s="78"/>
      <c r="L20" s="78"/>
      <c r="M20" s="78"/>
      <c r="N20" s="78"/>
      <c r="O20" s="78"/>
      <c r="P20" s="78"/>
      <c r="Q20" s="96"/>
      <c r="R20" s="96"/>
      <c r="S20" s="96"/>
      <c r="T20" s="96"/>
      <c r="U20" s="34"/>
      <c r="V20" s="98"/>
      <c r="W20" s="103">
        <v>45627</v>
      </c>
      <c r="X20" s="97"/>
      <c r="Y20" s="97"/>
      <c r="Z20" s="97"/>
      <c r="AA20" s="97"/>
      <c r="AB20" s="97"/>
      <c r="AC20" s="97"/>
      <c r="AD20" s="139"/>
    </row>
    <row r="21" spans="1:30" s="2" customFormat="1" ht="14.45" customHeight="1" x14ac:dyDescent="0.3">
      <c r="A21" s="1468"/>
      <c r="B21" s="25" t="s">
        <v>321</v>
      </c>
      <c r="C21" s="1460">
        <v>45046</v>
      </c>
      <c r="D21" s="1460"/>
      <c r="E21" s="1460"/>
      <c r="F21" s="26" t="s">
        <v>302</v>
      </c>
      <c r="G21" s="27"/>
      <c r="H21" s="26"/>
      <c r="I21" s="77"/>
      <c r="J21" s="78"/>
      <c r="K21" s="78"/>
      <c r="L21" s="78"/>
      <c r="M21" s="78"/>
      <c r="N21" s="78"/>
      <c r="O21" s="78"/>
      <c r="P21" s="78"/>
      <c r="Q21" s="96"/>
      <c r="R21" s="96"/>
      <c r="S21" s="96"/>
      <c r="T21" s="96"/>
      <c r="U21" s="34"/>
      <c r="V21" s="98"/>
      <c r="W21" s="99"/>
      <c r="X21" s="97"/>
      <c r="Y21" s="97"/>
      <c r="Z21" s="97"/>
      <c r="AA21" s="97"/>
      <c r="AB21" s="97"/>
      <c r="AC21" s="97"/>
      <c r="AD21" s="139"/>
    </row>
    <row r="22" spans="1:30" s="2" customFormat="1" ht="14.45" customHeight="1" x14ac:dyDescent="0.3">
      <c r="A22" s="1468"/>
      <c r="B22" s="25" t="s">
        <v>322</v>
      </c>
      <c r="C22" s="1460">
        <v>45107</v>
      </c>
      <c r="D22" s="1460"/>
      <c r="E22" s="1460"/>
      <c r="F22" s="26" t="s">
        <v>302</v>
      </c>
      <c r="G22" s="27"/>
      <c r="H22" s="26"/>
      <c r="I22" s="77"/>
      <c r="J22" s="78"/>
      <c r="K22" s="78"/>
      <c r="L22" s="78"/>
      <c r="M22" s="78"/>
      <c r="N22" s="78"/>
      <c r="O22" s="78"/>
      <c r="P22" s="78"/>
      <c r="Q22" s="96"/>
      <c r="R22" s="96"/>
      <c r="S22" s="96"/>
      <c r="T22" s="96"/>
      <c r="U22" s="34"/>
      <c r="V22" s="98"/>
      <c r="W22" s="103">
        <v>45809</v>
      </c>
      <c r="X22" s="97"/>
      <c r="Y22" s="97"/>
      <c r="Z22" s="97"/>
      <c r="AA22" s="97"/>
      <c r="AB22" s="97"/>
      <c r="AC22" s="97"/>
      <c r="AD22" s="139"/>
    </row>
    <row r="23" spans="1:30" s="2" customFormat="1" ht="14.45" customHeight="1" x14ac:dyDescent="0.3">
      <c r="A23" s="1468"/>
      <c r="B23" s="25" t="s">
        <v>323</v>
      </c>
      <c r="C23" s="1496">
        <v>16445.84</v>
      </c>
      <c r="D23" s="1496"/>
      <c r="E23" s="1496"/>
      <c r="F23" s="28">
        <v>16445.84</v>
      </c>
      <c r="G23" s="27"/>
      <c r="H23" s="26"/>
      <c r="I23" s="77"/>
      <c r="J23" s="78"/>
      <c r="K23" s="78"/>
      <c r="L23" s="78"/>
      <c r="M23" s="78"/>
      <c r="N23" s="78"/>
      <c r="O23" s="78"/>
      <c r="P23" s="78"/>
      <c r="Q23" s="96"/>
      <c r="R23" s="96"/>
      <c r="S23" s="96"/>
      <c r="T23" s="96"/>
      <c r="U23" s="34"/>
      <c r="V23" s="98"/>
      <c r="W23" s="99">
        <v>16445.84</v>
      </c>
      <c r="X23" s="97"/>
      <c r="Y23" s="97"/>
      <c r="Z23" s="97"/>
      <c r="AA23" s="97"/>
      <c r="AB23" s="97"/>
      <c r="AC23" s="97"/>
      <c r="AD23" s="139"/>
    </row>
    <row r="24" spans="1:30" s="2" customFormat="1" ht="14.45" customHeight="1" x14ac:dyDescent="0.3">
      <c r="A24" s="1468"/>
      <c r="B24" s="25" t="s">
        <v>326</v>
      </c>
      <c r="C24" s="1459" t="s">
        <v>209</v>
      </c>
      <c r="D24" s="1459"/>
      <c r="E24" s="1459"/>
      <c r="F24" s="26" t="s">
        <v>512</v>
      </c>
      <c r="G24" s="27"/>
      <c r="H24" s="26"/>
      <c r="I24" s="77"/>
      <c r="J24" s="78"/>
      <c r="K24" s="78"/>
      <c r="L24" s="78"/>
      <c r="M24" s="78"/>
      <c r="N24" s="78"/>
      <c r="O24" s="78"/>
      <c r="P24" s="78"/>
      <c r="Q24" s="96"/>
      <c r="R24" s="96"/>
      <c r="S24" s="96"/>
      <c r="T24" s="96"/>
      <c r="U24" s="34"/>
      <c r="V24" s="98"/>
      <c r="W24" s="104" t="s">
        <v>512</v>
      </c>
      <c r="X24" s="97"/>
      <c r="Y24" s="97"/>
      <c r="Z24" s="97"/>
      <c r="AA24" s="97"/>
      <c r="AB24" s="97"/>
      <c r="AC24" s="97"/>
      <c r="AD24" s="139"/>
    </row>
    <row r="25" spans="1:30" s="2" customFormat="1" ht="14.45" customHeight="1" x14ac:dyDescent="0.3">
      <c r="A25" s="1468"/>
      <c r="B25" s="25" t="s">
        <v>327</v>
      </c>
      <c r="C25" s="1459">
        <v>3.6</v>
      </c>
      <c r="D25" s="1459"/>
      <c r="E25" s="1459"/>
      <c r="F25" s="26" t="s">
        <v>588</v>
      </c>
      <c r="G25" s="27"/>
      <c r="H25" s="26"/>
      <c r="I25" s="77"/>
      <c r="J25" s="78"/>
      <c r="K25" s="78"/>
      <c r="L25" s="78"/>
      <c r="M25" s="78"/>
      <c r="N25" s="78"/>
      <c r="O25" s="78"/>
      <c r="P25" s="78"/>
      <c r="Q25" s="96"/>
      <c r="R25" s="96"/>
      <c r="S25" s="96"/>
      <c r="T25" s="96"/>
      <c r="U25" s="34"/>
      <c r="V25" s="98"/>
      <c r="W25" s="99">
        <v>3.6</v>
      </c>
      <c r="X25" s="97"/>
      <c r="Y25" s="97"/>
      <c r="Z25" s="97"/>
      <c r="AA25" s="97"/>
      <c r="AB25" s="97"/>
      <c r="AC25" s="97"/>
      <c r="AD25" s="139"/>
    </row>
    <row r="26" spans="1:30" s="2" customFormat="1" ht="14.45" customHeight="1" x14ac:dyDescent="0.3">
      <c r="A26" s="1468"/>
      <c r="B26" s="25" t="s">
        <v>328</v>
      </c>
      <c r="C26" s="1459">
        <v>76512.740000000005</v>
      </c>
      <c r="D26" s="1459"/>
      <c r="E26" s="1459"/>
      <c r="F26" s="26" t="s">
        <v>302</v>
      </c>
      <c r="G26" s="27"/>
      <c r="H26" s="26"/>
      <c r="I26" s="77"/>
      <c r="J26" s="78"/>
      <c r="K26" s="78"/>
      <c r="L26" s="78"/>
      <c r="M26" s="78"/>
      <c r="N26" s="78"/>
      <c r="O26" s="78"/>
      <c r="P26" s="78"/>
      <c r="Q26" s="105">
        <f>C26</f>
        <v>76512.740000000005</v>
      </c>
      <c r="R26" s="96"/>
      <c r="S26" s="96"/>
      <c r="T26" s="96"/>
      <c r="U26" s="34"/>
      <c r="V26" s="98"/>
      <c r="W26" s="106">
        <v>76512.740000000005</v>
      </c>
      <c r="X26" s="105">
        <f>Q26</f>
        <v>76512.740000000005</v>
      </c>
      <c r="Y26" s="97"/>
      <c r="Z26" s="97"/>
      <c r="AA26" s="97"/>
      <c r="AB26" s="105">
        <f>X26</f>
        <v>76512.740000000005</v>
      </c>
      <c r="AC26" s="97"/>
      <c r="AD26" s="139"/>
    </row>
    <row r="27" spans="1:30" s="2" customFormat="1" ht="14.45" customHeight="1" outlineLevel="1" x14ac:dyDescent="0.3">
      <c r="A27" s="1468"/>
      <c r="B27" s="25" t="s">
        <v>329</v>
      </c>
      <c r="C27" s="1459"/>
      <c r="D27" s="1459"/>
      <c r="E27" s="1459"/>
      <c r="F27" s="26" t="s">
        <v>302</v>
      </c>
      <c r="G27" s="27"/>
      <c r="H27" s="26"/>
      <c r="I27" s="77"/>
      <c r="J27" s="78"/>
      <c r="K27" s="78"/>
      <c r="L27" s="78"/>
      <c r="M27" s="78"/>
      <c r="N27" s="78"/>
      <c r="O27" s="78"/>
      <c r="P27" s="78"/>
      <c r="Q27" s="96"/>
      <c r="R27" s="96"/>
      <c r="S27" s="96"/>
      <c r="T27" s="96"/>
      <c r="U27" s="34"/>
      <c r="V27" s="98"/>
      <c r="W27" s="99"/>
      <c r="X27" s="97"/>
      <c r="Y27" s="97"/>
      <c r="Z27" s="97"/>
      <c r="AA27" s="97"/>
      <c r="AB27" s="97"/>
      <c r="AC27" s="97"/>
      <c r="AD27" s="139"/>
    </row>
    <row r="28" spans="1:30" s="2" customFormat="1" ht="14.45" customHeight="1" outlineLevel="1" x14ac:dyDescent="0.3">
      <c r="A28" s="1468"/>
      <c r="B28" s="25" t="s">
        <v>330</v>
      </c>
      <c r="C28" s="1459">
        <v>54939.51</v>
      </c>
      <c r="D28" s="1459"/>
      <c r="E28" s="1459"/>
      <c r="F28" s="26" t="s">
        <v>302</v>
      </c>
      <c r="G28" s="27"/>
      <c r="H28" s="26"/>
      <c r="I28" s="77"/>
      <c r="J28" s="78"/>
      <c r="K28" s="78"/>
      <c r="L28" s="78"/>
      <c r="M28" s="78"/>
      <c r="N28" s="78"/>
      <c r="O28" s="78"/>
      <c r="P28" s="78"/>
      <c r="Q28" s="96"/>
      <c r="R28" s="96"/>
      <c r="S28" s="96"/>
      <c r="T28" s="96"/>
      <c r="U28" s="34"/>
      <c r="V28" s="98"/>
      <c r="W28" s="99"/>
      <c r="X28" s="97"/>
      <c r="Y28" s="97"/>
      <c r="Z28" s="97"/>
      <c r="AA28" s="97"/>
      <c r="AB28" s="97"/>
      <c r="AC28" s="97"/>
      <c r="AD28" s="139"/>
    </row>
    <row r="29" spans="1:30" s="2" customFormat="1" ht="14.45" customHeight="1" outlineLevel="1" x14ac:dyDescent="0.3">
      <c r="A29" s="1468"/>
      <c r="B29" s="25" t="s">
        <v>333</v>
      </c>
      <c r="C29" s="1459">
        <v>21573.23</v>
      </c>
      <c r="D29" s="1459"/>
      <c r="E29" s="1459"/>
      <c r="F29" s="26" t="s">
        <v>302</v>
      </c>
      <c r="G29" s="27"/>
      <c r="H29" s="26"/>
      <c r="I29" s="77"/>
      <c r="J29" s="78"/>
      <c r="K29" s="78"/>
      <c r="L29" s="78"/>
      <c r="M29" s="78"/>
      <c r="N29" s="78"/>
      <c r="O29" s="78"/>
      <c r="P29" s="78"/>
      <c r="Q29" s="96"/>
      <c r="R29" s="96"/>
      <c r="S29" s="96"/>
      <c r="T29" s="96"/>
      <c r="U29" s="34"/>
      <c r="V29" s="98"/>
      <c r="W29" s="99"/>
      <c r="X29" s="97"/>
      <c r="Y29" s="97"/>
      <c r="Z29" s="97"/>
      <c r="AA29" s="97"/>
      <c r="AB29" s="97"/>
      <c r="AC29" s="97"/>
      <c r="AD29" s="139"/>
    </row>
    <row r="30" spans="1:30" s="2" customFormat="1" ht="14.45" customHeight="1" x14ac:dyDescent="0.3">
      <c r="A30" s="1468"/>
      <c r="B30" s="25" t="s">
        <v>335</v>
      </c>
      <c r="C30" s="1459">
        <v>1117.17</v>
      </c>
      <c r="D30" s="1459"/>
      <c r="E30" s="1459"/>
      <c r="F30" s="26" t="s">
        <v>302</v>
      </c>
      <c r="G30" s="27"/>
      <c r="H30" s="26"/>
      <c r="I30" s="77"/>
      <c r="J30" s="78"/>
      <c r="K30" s="78"/>
      <c r="L30" s="78"/>
      <c r="M30" s="78"/>
      <c r="N30" s="78"/>
      <c r="O30" s="78"/>
      <c r="P30" s="78"/>
      <c r="Q30" s="96"/>
      <c r="R30" s="96"/>
      <c r="S30" s="96"/>
      <c r="T30" s="96"/>
      <c r="U30" s="34"/>
      <c r="V30" s="98"/>
      <c r="W30" s="99"/>
      <c r="X30" s="97"/>
      <c r="Y30" s="97"/>
      <c r="Z30" s="97"/>
      <c r="AA30" s="97"/>
      <c r="AB30" s="97"/>
      <c r="AC30" s="97"/>
      <c r="AD30" s="139"/>
    </row>
    <row r="31" spans="1:30" s="2" customFormat="1" ht="14.45" customHeight="1" x14ac:dyDescent="0.3">
      <c r="A31" s="1468"/>
      <c r="B31" s="25" t="s">
        <v>337</v>
      </c>
      <c r="C31" s="1459" t="s">
        <v>213</v>
      </c>
      <c r="D31" s="1459"/>
      <c r="E31" s="1459"/>
      <c r="F31" s="26" t="s">
        <v>302</v>
      </c>
      <c r="G31" s="27"/>
      <c r="H31" s="26"/>
      <c r="I31" s="77"/>
      <c r="J31" s="78"/>
      <c r="K31" s="78"/>
      <c r="L31" s="78"/>
      <c r="M31" s="78"/>
      <c r="N31" s="78"/>
      <c r="O31" s="78"/>
      <c r="P31" s="78"/>
      <c r="Q31" s="96"/>
      <c r="R31" s="96"/>
      <c r="S31" s="96"/>
      <c r="T31" s="96"/>
      <c r="U31" s="34"/>
      <c r="V31" s="98"/>
      <c r="W31" s="99"/>
      <c r="X31" s="97"/>
      <c r="Y31" s="97"/>
      <c r="Z31" s="97"/>
      <c r="AA31" s="97"/>
      <c r="AB31" s="97"/>
      <c r="AC31" s="97"/>
      <c r="AD31" s="139"/>
    </row>
    <row r="32" spans="1:30" s="2" customFormat="1" ht="14.45" customHeight="1" x14ac:dyDescent="0.3">
      <c r="A32" s="1468"/>
      <c r="B32" s="25" t="s">
        <v>339</v>
      </c>
      <c r="C32" s="1459"/>
      <c r="D32" s="1459"/>
      <c r="E32" s="1459"/>
      <c r="F32" s="26" t="s">
        <v>302</v>
      </c>
      <c r="G32" s="27"/>
      <c r="H32" s="26"/>
      <c r="I32" s="77"/>
      <c r="J32" s="78"/>
      <c r="K32" s="78"/>
      <c r="L32" s="78"/>
      <c r="M32" s="78"/>
      <c r="N32" s="78"/>
      <c r="O32" s="78"/>
      <c r="P32" s="78"/>
      <c r="Q32" s="96"/>
      <c r="R32" s="96"/>
      <c r="S32" s="96"/>
      <c r="T32" s="96"/>
      <c r="U32" s="34"/>
      <c r="V32" s="98"/>
      <c r="W32" s="99"/>
      <c r="X32" s="97"/>
      <c r="Y32" s="97"/>
      <c r="Z32" s="97"/>
      <c r="AA32" s="97"/>
      <c r="AB32" s="97"/>
      <c r="AC32" s="97"/>
      <c r="AD32" s="139"/>
    </row>
    <row r="33" spans="1:32" s="2" customFormat="1" ht="34.15" customHeight="1" x14ac:dyDescent="0.3">
      <c r="A33" s="1468"/>
      <c r="B33" s="25" t="s">
        <v>340</v>
      </c>
      <c r="C33" s="1459" t="s">
        <v>216</v>
      </c>
      <c r="D33" s="1459"/>
      <c r="E33" s="1459"/>
      <c r="F33" s="26" t="s">
        <v>302</v>
      </c>
      <c r="G33" s="27"/>
      <c r="H33" s="26"/>
      <c r="I33" s="77"/>
      <c r="J33" s="78"/>
      <c r="K33" s="78"/>
      <c r="L33" s="78"/>
      <c r="M33" s="78"/>
      <c r="N33" s="78"/>
      <c r="O33" s="78"/>
      <c r="P33" s="78"/>
      <c r="Q33" s="96"/>
      <c r="R33" s="96"/>
      <c r="S33" s="96"/>
      <c r="T33" s="96"/>
      <c r="U33" s="34"/>
      <c r="V33" s="98"/>
      <c r="W33" s="99" t="s">
        <v>589</v>
      </c>
      <c r="X33" s="97"/>
      <c r="Y33" s="97"/>
      <c r="Z33" s="97"/>
      <c r="AA33" s="97"/>
      <c r="AB33" s="97"/>
      <c r="AC33" s="97"/>
      <c r="AD33" s="139"/>
    </row>
    <row r="34" spans="1:32" s="2" customFormat="1" ht="14.45" customHeight="1" x14ac:dyDescent="0.3">
      <c r="A34" s="1468" t="s">
        <v>342</v>
      </c>
      <c r="B34" s="25" t="s">
        <v>343</v>
      </c>
      <c r="C34" s="1459" t="s">
        <v>518</v>
      </c>
      <c r="D34" s="1459"/>
      <c r="E34" s="1459"/>
      <c r="F34" s="26" t="s">
        <v>519</v>
      </c>
      <c r="G34" s="27"/>
      <c r="H34" s="26"/>
      <c r="I34" s="77"/>
      <c r="J34" s="78"/>
      <c r="K34" s="78"/>
      <c r="L34" s="78"/>
      <c r="M34" s="78"/>
      <c r="N34" s="78"/>
      <c r="O34" s="78"/>
      <c r="P34" s="78"/>
      <c r="Q34" s="96"/>
      <c r="R34" s="96"/>
      <c r="S34" s="96"/>
      <c r="T34" s="96"/>
      <c r="U34" s="34"/>
      <c r="V34" s="98"/>
      <c r="W34" s="107" t="s">
        <v>590</v>
      </c>
      <c r="X34" s="97"/>
      <c r="Y34" s="97"/>
      <c r="Z34" s="97"/>
      <c r="AA34" s="97"/>
      <c r="AB34" s="97"/>
      <c r="AC34" s="97"/>
      <c r="AD34" s="139"/>
    </row>
    <row r="35" spans="1:32" s="2" customFormat="1" ht="42.75" x14ac:dyDescent="0.3">
      <c r="A35" s="1468"/>
      <c r="B35" s="25" t="s">
        <v>345</v>
      </c>
      <c r="C35" s="1459">
        <v>6000</v>
      </c>
      <c r="D35" s="1459"/>
      <c r="E35" s="1459"/>
      <c r="F35" s="28">
        <v>6000</v>
      </c>
      <c r="G35" s="27"/>
      <c r="H35" s="26"/>
      <c r="I35" s="26" t="s">
        <v>591</v>
      </c>
      <c r="J35" s="76"/>
      <c r="K35" s="76"/>
      <c r="L35" s="76"/>
      <c r="M35" s="76"/>
      <c r="N35" s="76"/>
      <c r="O35" s="76"/>
      <c r="P35" s="76"/>
      <c r="Q35" s="96"/>
      <c r="R35" s="96"/>
      <c r="S35" s="96"/>
      <c r="T35" s="96"/>
      <c r="U35" s="34"/>
      <c r="V35" s="98"/>
      <c r="W35" s="99">
        <v>7986</v>
      </c>
      <c r="X35" s="97"/>
      <c r="Y35" s="97"/>
      <c r="Z35" s="97"/>
      <c r="AA35" s="97"/>
      <c r="AB35" s="97"/>
      <c r="AC35" s="97"/>
      <c r="AD35" s="139"/>
    </row>
    <row r="36" spans="1:32" s="2" customFormat="1" ht="28.5" x14ac:dyDescent="0.3">
      <c r="A36" s="1468"/>
      <c r="B36" s="1459" t="s">
        <v>348</v>
      </c>
      <c r="C36" s="1459" t="s">
        <v>70</v>
      </c>
      <c r="D36" s="1459"/>
      <c r="E36" s="1459"/>
      <c r="F36" s="26" t="s">
        <v>592</v>
      </c>
      <c r="G36" s="27"/>
      <c r="H36" s="26"/>
      <c r="I36" s="77"/>
      <c r="J36" s="78"/>
      <c r="K36" s="78"/>
      <c r="L36" s="78"/>
      <c r="M36" s="78"/>
      <c r="N36" s="78"/>
      <c r="O36" s="78"/>
      <c r="P36" s="78"/>
      <c r="Q36" s="96"/>
      <c r="R36" s="96"/>
      <c r="S36" s="96"/>
      <c r="T36" s="96"/>
      <c r="U36" s="34"/>
      <c r="V36" s="98"/>
      <c r="W36" s="107"/>
      <c r="X36" s="97"/>
      <c r="Y36" s="97"/>
      <c r="Z36" s="97"/>
      <c r="AA36" s="97"/>
      <c r="AB36" s="97"/>
      <c r="AC36" s="97"/>
      <c r="AD36" s="139"/>
    </row>
    <row r="37" spans="1:32" s="2" customFormat="1" ht="91.9" customHeight="1" x14ac:dyDescent="0.3">
      <c r="A37" s="1468"/>
      <c r="B37" s="1459"/>
      <c r="C37" s="1459" t="s">
        <v>350</v>
      </c>
      <c r="D37" s="1459"/>
      <c r="E37" s="1459"/>
      <c r="F37" s="26" t="s">
        <v>593</v>
      </c>
      <c r="G37" s="27"/>
      <c r="H37" s="26" t="s">
        <v>594</v>
      </c>
      <c r="I37" s="77"/>
      <c r="J37" s="78"/>
      <c r="K37" s="78"/>
      <c r="L37" s="78"/>
      <c r="M37" s="78"/>
      <c r="N37" s="78"/>
      <c r="O37" s="78"/>
      <c r="P37" s="78"/>
      <c r="Q37" s="96"/>
      <c r="R37" s="96"/>
      <c r="S37" s="96"/>
      <c r="T37" s="96"/>
      <c r="U37" s="34"/>
      <c r="V37" s="98"/>
      <c r="W37" s="99" t="s">
        <v>595</v>
      </c>
      <c r="X37" s="97"/>
      <c r="Y37" s="97"/>
      <c r="Z37" s="97"/>
      <c r="AA37" s="97"/>
      <c r="AB37" s="97"/>
      <c r="AC37" s="97"/>
      <c r="AD37" s="139"/>
    </row>
    <row r="38" spans="1:32" s="2" customFormat="1" ht="24.4" customHeight="1" x14ac:dyDescent="0.3">
      <c r="A38" s="1468"/>
      <c r="B38" s="1459"/>
      <c r="C38" s="1459" t="s">
        <v>352</v>
      </c>
      <c r="D38" s="1459"/>
      <c r="E38" s="1459"/>
      <c r="F38" s="29" t="s">
        <v>397</v>
      </c>
      <c r="G38" s="27"/>
      <c r="H38" s="26"/>
      <c r="I38" s="77"/>
      <c r="J38" s="78"/>
      <c r="K38" s="78"/>
      <c r="L38" s="78"/>
      <c r="M38" s="78"/>
      <c r="N38" s="78"/>
      <c r="O38" s="78"/>
      <c r="P38" s="78"/>
      <c r="Q38" s="96"/>
      <c r="R38" s="96"/>
      <c r="S38" s="96"/>
      <c r="T38" s="96"/>
      <c r="U38" s="34"/>
      <c r="V38" s="98"/>
      <c r="W38" s="99"/>
      <c r="X38" s="97"/>
      <c r="Y38" s="97"/>
      <c r="Z38" s="97"/>
      <c r="AA38" s="97"/>
      <c r="AB38" s="97"/>
      <c r="AC38" s="97"/>
      <c r="AD38" s="139"/>
    </row>
    <row r="39" spans="1:32" s="2" customFormat="1" ht="41.65" customHeight="1" x14ac:dyDescent="0.3">
      <c r="A39" s="1468"/>
      <c r="B39" s="25" t="s">
        <v>354</v>
      </c>
      <c r="C39" s="1459" t="s">
        <v>526</v>
      </c>
      <c r="D39" s="1459"/>
      <c r="E39" s="1459"/>
      <c r="F39" s="26" t="s">
        <v>527</v>
      </c>
      <c r="G39" s="27"/>
      <c r="H39" s="26" t="s">
        <v>528</v>
      </c>
      <c r="I39" s="77"/>
      <c r="J39" s="78"/>
      <c r="K39" s="78"/>
      <c r="L39" s="78"/>
      <c r="M39" s="78"/>
      <c r="N39" s="78"/>
      <c r="O39" s="78"/>
      <c r="P39" s="78"/>
      <c r="Q39" s="96"/>
      <c r="R39" s="96"/>
      <c r="S39" s="96"/>
      <c r="T39" s="96"/>
      <c r="U39" s="34"/>
      <c r="V39" s="98"/>
      <c r="W39" s="99"/>
      <c r="X39" s="97"/>
      <c r="Y39" s="97"/>
      <c r="Z39" s="97"/>
      <c r="AA39" s="97"/>
      <c r="AB39" s="97"/>
      <c r="AC39" s="97"/>
      <c r="AD39" s="139"/>
    </row>
    <row r="40" spans="1:32" s="2" customFormat="1" ht="199.5" x14ac:dyDescent="0.3">
      <c r="A40" s="23" t="s">
        <v>358</v>
      </c>
      <c r="B40" s="25"/>
      <c r="C40" s="1459"/>
      <c r="D40" s="1459"/>
      <c r="E40" s="1459"/>
      <c r="F40" s="30" t="s">
        <v>596</v>
      </c>
      <c r="G40" s="26" t="s">
        <v>597</v>
      </c>
      <c r="H40" s="26" t="s">
        <v>598</v>
      </c>
      <c r="I40" s="77" t="s">
        <v>599</v>
      </c>
      <c r="J40" s="78"/>
      <c r="K40" s="78"/>
      <c r="L40" s="78"/>
      <c r="M40" s="78"/>
      <c r="N40" s="78"/>
      <c r="O40" s="78"/>
      <c r="P40" s="78"/>
      <c r="Q40" s="96"/>
      <c r="R40" s="96"/>
      <c r="S40" s="96"/>
      <c r="T40" s="96"/>
      <c r="U40" s="34"/>
      <c r="V40" s="98"/>
      <c r="W40" s="99" t="s">
        <v>600</v>
      </c>
      <c r="X40" s="97"/>
      <c r="Y40" s="97"/>
      <c r="Z40" s="97"/>
      <c r="AA40" s="97"/>
      <c r="AB40" s="97"/>
      <c r="AC40" s="97"/>
      <c r="AD40" s="139"/>
    </row>
    <row r="41" spans="1:32" s="2" customFormat="1" ht="273.95" customHeight="1" x14ac:dyDescent="0.3">
      <c r="A41" s="23" t="s">
        <v>364</v>
      </c>
      <c r="B41" s="25"/>
      <c r="C41" s="25"/>
      <c r="D41" s="25"/>
      <c r="E41" s="25"/>
      <c r="F41" s="26" t="s">
        <v>535</v>
      </c>
      <c r="G41" s="27"/>
      <c r="H41" s="26" t="s">
        <v>536</v>
      </c>
      <c r="I41" s="77"/>
      <c r="J41" s="78"/>
      <c r="K41" s="78"/>
      <c r="L41" s="78"/>
      <c r="M41" s="78"/>
      <c r="N41" s="78"/>
      <c r="O41" s="78"/>
      <c r="P41" s="78"/>
      <c r="Q41" s="96"/>
      <c r="R41" s="96"/>
      <c r="S41" s="96"/>
      <c r="T41" s="96"/>
      <c r="U41" s="34"/>
      <c r="V41" s="98"/>
      <c r="W41" s="99" t="s">
        <v>537</v>
      </c>
      <c r="X41" s="97"/>
      <c r="Y41" s="97"/>
      <c r="Z41" s="97"/>
      <c r="AA41" s="97"/>
      <c r="AB41" s="97"/>
      <c r="AC41" s="97"/>
      <c r="AD41" s="139"/>
    </row>
    <row r="42" spans="1:32" s="2" customFormat="1" ht="87" customHeight="1" x14ac:dyDescent="0.3">
      <c r="A42" s="1468" t="s">
        <v>366</v>
      </c>
      <c r="B42" s="31" t="s">
        <v>367</v>
      </c>
      <c r="C42" s="32"/>
      <c r="D42" s="32"/>
      <c r="E42" s="32"/>
      <c r="F42" s="33" t="s">
        <v>601</v>
      </c>
      <c r="G42" s="34" t="s">
        <v>602</v>
      </c>
      <c r="H42" s="26" t="s">
        <v>603</v>
      </c>
      <c r="I42" s="77"/>
      <c r="J42" s="78"/>
      <c r="K42" s="78"/>
      <c r="L42" s="78"/>
      <c r="M42" s="78"/>
      <c r="N42" s="78"/>
      <c r="O42" s="78"/>
      <c r="P42" s="78"/>
      <c r="Q42" s="96"/>
      <c r="R42" s="96"/>
      <c r="S42" s="96"/>
      <c r="T42" s="96"/>
      <c r="U42" s="34"/>
      <c r="V42" s="98"/>
      <c r="W42" s="99" t="s">
        <v>604</v>
      </c>
      <c r="X42" s="97"/>
      <c r="Y42" s="97"/>
      <c r="Z42" s="97"/>
      <c r="AA42" s="97"/>
      <c r="AB42" s="97"/>
      <c r="AC42" s="97"/>
      <c r="AD42" s="139"/>
    </row>
    <row r="43" spans="1:32" s="2" customFormat="1" ht="38.1" customHeight="1" x14ac:dyDescent="0.3">
      <c r="A43" s="1468"/>
      <c r="B43" s="31" t="s">
        <v>369</v>
      </c>
      <c r="C43" s="25"/>
      <c r="D43" s="25"/>
      <c r="E43" s="25"/>
      <c r="F43" s="33" t="s">
        <v>370</v>
      </c>
      <c r="G43" s="27"/>
      <c r="H43" s="26"/>
      <c r="I43" s="77"/>
      <c r="J43" s="78"/>
      <c r="K43" s="78"/>
      <c r="L43" s="78"/>
      <c r="M43" s="78"/>
      <c r="N43" s="78"/>
      <c r="O43" s="78"/>
      <c r="P43" s="78"/>
      <c r="Q43" s="96"/>
      <c r="R43" s="96"/>
      <c r="S43" s="96"/>
      <c r="T43" s="96"/>
      <c r="U43" s="34"/>
      <c r="V43" s="98"/>
      <c r="W43" s="99" t="s">
        <v>604</v>
      </c>
      <c r="X43" s="97"/>
      <c r="Y43" s="97"/>
      <c r="Z43" s="97"/>
      <c r="AA43" s="97"/>
      <c r="AB43" s="97"/>
      <c r="AC43" s="97"/>
      <c r="AD43" s="139"/>
    </row>
    <row r="44" spans="1:32" s="2" customFormat="1" ht="38.1" customHeight="1" x14ac:dyDescent="0.3">
      <c r="A44" s="1468"/>
      <c r="B44" s="31" t="s">
        <v>371</v>
      </c>
      <c r="C44" s="25"/>
      <c r="D44" s="25"/>
      <c r="E44" s="25"/>
      <c r="F44" s="33" t="s">
        <v>371</v>
      </c>
      <c r="G44" s="27"/>
      <c r="H44" s="26"/>
      <c r="I44" s="77"/>
      <c r="J44" s="78"/>
      <c r="K44" s="78"/>
      <c r="L44" s="78"/>
      <c r="M44" s="78"/>
      <c r="N44" s="78"/>
      <c r="O44" s="78"/>
      <c r="P44" s="78"/>
      <c r="Q44" s="96"/>
      <c r="R44" s="96"/>
      <c r="S44" s="96"/>
      <c r="T44" s="96"/>
      <c r="U44" s="34"/>
      <c r="V44" s="98"/>
      <c r="W44" s="99" t="s">
        <v>604</v>
      </c>
      <c r="X44" s="97"/>
      <c r="Y44" s="97"/>
      <c r="Z44" s="97"/>
      <c r="AA44" s="97"/>
      <c r="AB44" s="97"/>
      <c r="AC44" s="97"/>
      <c r="AD44" s="139"/>
    </row>
    <row r="45" spans="1:32" s="2" customFormat="1" ht="45.4" customHeight="1" x14ac:dyDescent="0.3">
      <c r="A45" s="23" t="s">
        <v>540</v>
      </c>
      <c r="B45" s="31"/>
      <c r="C45" s="25"/>
      <c r="D45" s="25"/>
      <c r="E45" s="25"/>
      <c r="F45" s="33"/>
      <c r="G45" s="27"/>
      <c r="H45" s="26"/>
      <c r="I45" s="77"/>
      <c r="J45" s="78"/>
      <c r="K45" s="78"/>
      <c r="L45" s="78"/>
      <c r="M45" s="78"/>
      <c r="N45" s="78"/>
      <c r="O45" s="78"/>
      <c r="P45" s="78"/>
      <c r="Q45" s="96"/>
      <c r="R45" s="96"/>
      <c r="S45" s="96"/>
      <c r="T45" s="96"/>
      <c r="U45" s="34"/>
      <c r="V45" s="98"/>
      <c r="W45" s="99" t="s">
        <v>541</v>
      </c>
      <c r="X45" s="97"/>
      <c r="Y45" s="97"/>
      <c r="Z45" s="97"/>
      <c r="AA45" s="97"/>
      <c r="AB45" s="97"/>
      <c r="AC45" s="97"/>
      <c r="AD45" s="139"/>
    </row>
    <row r="46" spans="1:32" s="2" customFormat="1" ht="38.1" customHeight="1" x14ac:dyDescent="0.3">
      <c r="A46" s="23" t="s">
        <v>544</v>
      </c>
      <c r="B46" s="31"/>
      <c r="C46" s="25"/>
      <c r="D46" s="25"/>
      <c r="E46" s="25"/>
      <c r="F46" s="33"/>
      <c r="G46" s="27"/>
      <c r="H46" s="26"/>
      <c r="I46" s="77"/>
      <c r="J46" s="78"/>
      <c r="K46" s="78"/>
      <c r="L46" s="78"/>
      <c r="M46" s="78"/>
      <c r="N46" s="78"/>
      <c r="O46" s="78"/>
      <c r="P46" s="78"/>
      <c r="Q46" s="96"/>
      <c r="R46" s="96"/>
      <c r="S46" s="96"/>
      <c r="T46" s="96"/>
      <c r="U46" s="34"/>
      <c r="V46" s="98"/>
      <c r="W46" s="99" t="s">
        <v>545</v>
      </c>
      <c r="X46" s="97"/>
      <c r="Y46" s="97"/>
      <c r="Z46" s="97"/>
      <c r="AA46" s="97"/>
      <c r="AB46" s="97"/>
      <c r="AC46" s="97"/>
      <c r="AD46" s="139"/>
    </row>
    <row r="47" spans="1:32" s="2" customFormat="1" ht="38.1" customHeight="1" x14ac:dyDescent="0.3">
      <c r="A47" s="23" t="s">
        <v>546</v>
      </c>
      <c r="B47" s="31"/>
      <c r="C47" s="25"/>
      <c r="D47" s="25"/>
      <c r="E47" s="25"/>
      <c r="F47" s="33"/>
      <c r="G47" s="27"/>
      <c r="H47" s="26"/>
      <c r="I47" s="77"/>
      <c r="J47" s="78"/>
      <c r="K47" s="78"/>
      <c r="L47" s="78"/>
      <c r="M47" s="78"/>
      <c r="N47" s="78"/>
      <c r="O47" s="78"/>
      <c r="P47" s="78"/>
      <c r="Q47" s="96"/>
      <c r="R47" s="96"/>
      <c r="S47" s="96"/>
      <c r="T47" s="96"/>
      <c r="U47" s="34"/>
      <c r="V47" s="98"/>
      <c r="W47" s="99" t="s">
        <v>547</v>
      </c>
      <c r="X47" s="97"/>
      <c r="Y47" s="97"/>
      <c r="Z47" s="97"/>
      <c r="AA47" s="97"/>
      <c r="AB47" s="97"/>
      <c r="AC47" s="97"/>
      <c r="AD47" s="139"/>
    </row>
    <row r="48" spans="1:32" ht="13.5" x14ac:dyDescent="0.15">
      <c r="A48" s="17" t="s">
        <v>376</v>
      </c>
      <c r="B48" s="18"/>
      <c r="C48" s="19"/>
      <c r="D48" s="20"/>
      <c r="E48" s="20"/>
      <c r="F48" s="21"/>
      <c r="G48" s="22"/>
      <c r="H48" s="22"/>
      <c r="I48" s="22"/>
      <c r="J48" s="79"/>
      <c r="K48" s="79"/>
      <c r="L48" s="79"/>
      <c r="M48" s="79"/>
      <c r="N48" s="79"/>
      <c r="O48" s="79"/>
      <c r="P48" s="79"/>
      <c r="Q48" s="108"/>
      <c r="R48" s="108"/>
      <c r="S48" s="108"/>
      <c r="T48" s="108"/>
      <c r="U48" s="109"/>
      <c r="V48" s="110"/>
      <c r="W48" s="94"/>
      <c r="X48" s="111"/>
      <c r="Y48" s="111"/>
      <c r="Z48" s="111"/>
      <c r="AA48" s="111"/>
      <c r="AB48" s="111"/>
      <c r="AC48" s="111"/>
      <c r="AD48" s="140"/>
      <c r="AE48" s="9"/>
      <c r="AF48" s="9" t="s">
        <v>578</v>
      </c>
    </row>
    <row r="49" spans="1:33" ht="13.5" x14ac:dyDescent="0.15">
      <c r="A49" s="1507" t="s">
        <v>15</v>
      </c>
      <c r="B49" s="1508"/>
      <c r="C49" s="36" t="s">
        <v>22</v>
      </c>
      <c r="D49" s="37" t="s">
        <v>37</v>
      </c>
      <c r="E49" s="37" t="s">
        <v>377</v>
      </c>
      <c r="F49" s="38"/>
      <c r="G49" s="39"/>
      <c r="H49" s="39"/>
      <c r="I49" s="39"/>
      <c r="J49" s="80" t="s">
        <v>605</v>
      </c>
      <c r="K49" s="80"/>
      <c r="L49" s="80" t="s">
        <v>606</v>
      </c>
      <c r="M49" s="80" t="s">
        <v>607</v>
      </c>
      <c r="N49" s="80"/>
      <c r="O49" s="80"/>
      <c r="P49" s="80"/>
      <c r="Q49" s="112" t="s">
        <v>43</v>
      </c>
      <c r="R49" s="112" t="s">
        <v>39</v>
      </c>
      <c r="S49" s="112" t="s">
        <v>550</v>
      </c>
      <c r="T49" s="112"/>
      <c r="U49" s="113" t="s">
        <v>22</v>
      </c>
      <c r="V49" s="114" t="s">
        <v>39</v>
      </c>
      <c r="W49" s="115"/>
      <c r="X49" s="35" t="s">
        <v>608</v>
      </c>
      <c r="Y49" s="35" t="s">
        <v>39</v>
      </c>
      <c r="Z49" s="112" t="s">
        <v>609</v>
      </c>
      <c r="AA49" s="112" t="s">
        <v>127</v>
      </c>
      <c r="AB49" s="141" t="s">
        <v>577</v>
      </c>
      <c r="AC49" s="141" t="s">
        <v>39</v>
      </c>
      <c r="AD49" s="142"/>
      <c r="AE49" s="9"/>
      <c r="AF49" s="9" t="s">
        <v>43</v>
      </c>
      <c r="AG49" s="9" t="s">
        <v>550</v>
      </c>
    </row>
    <row r="50" spans="1:33" s="1" customFormat="1" x14ac:dyDescent="0.15">
      <c r="A50" s="40" t="s">
        <v>40</v>
      </c>
      <c r="B50" s="41" t="s">
        <v>379</v>
      </c>
      <c r="C50" s="42">
        <v>89846</v>
      </c>
      <c r="D50" s="43">
        <f t="shared" ref="D50:D56" si="0">C50/C$26*10000</f>
        <v>11742.619595115801</v>
      </c>
      <c r="E50" s="44"/>
      <c r="F50" s="45"/>
      <c r="G50" s="46"/>
      <c r="H50" s="16"/>
      <c r="I50" s="81"/>
      <c r="J50" s="82"/>
      <c r="K50" s="82"/>
      <c r="L50" s="82"/>
      <c r="M50" s="82"/>
      <c r="N50" s="82"/>
      <c r="O50" s="82"/>
      <c r="P50" s="82"/>
      <c r="Q50" s="42">
        <v>0</v>
      </c>
      <c r="R50" s="116">
        <f t="shared" ref="R50:R54" si="1">Q50/Q$26*10000</f>
        <v>0</v>
      </c>
      <c r="S50" s="42"/>
      <c r="T50" s="42"/>
      <c r="U50" s="117">
        <f>SUM(U51:U53)</f>
        <v>58111</v>
      </c>
      <c r="V50" s="118">
        <f t="shared" ref="V50:V54" si="2">U50/$C$26*10000</f>
        <v>7594.9443190767997</v>
      </c>
      <c r="W50" s="119"/>
      <c r="X50" s="116">
        <f>X51+X52+X53+X54</f>
        <v>135</v>
      </c>
      <c r="Y50" s="116">
        <f t="shared" ref="Y50:Y54" si="3">X50/X$26*10000</f>
        <v>17.6441204432099</v>
      </c>
      <c r="Z50" s="116">
        <f>Z51+Z52+Z53+Z54</f>
        <v>135</v>
      </c>
      <c r="AA50" s="116"/>
      <c r="AB50" s="116">
        <f t="shared" ref="AB50:AB80" si="4">U50</f>
        <v>58111</v>
      </c>
      <c r="AC50" s="116">
        <f t="shared" ref="AC50:AC54" si="5">AB50/AB$26*10000</f>
        <v>7594.9443190767997</v>
      </c>
      <c r="AD50" s="137"/>
      <c r="AF50" s="143">
        <f t="shared" ref="AF50:AF54" si="6">X50-Q50</f>
        <v>135</v>
      </c>
      <c r="AG50" s="143">
        <f t="shared" ref="AG50:AG54" si="7">Z50-S50</f>
        <v>135</v>
      </c>
    </row>
    <row r="51" spans="1:33" outlineLevel="1" x14ac:dyDescent="0.15">
      <c r="A51" s="47">
        <v>1</v>
      </c>
      <c r="B51" s="7" t="s">
        <v>60</v>
      </c>
      <c r="C51" s="48">
        <v>76173</v>
      </c>
      <c r="D51" s="43">
        <f t="shared" si="0"/>
        <v>9955.59693718981</v>
      </c>
      <c r="E51" s="49">
        <v>0.83599999999999997</v>
      </c>
      <c r="F51" s="26"/>
      <c r="G51" s="50"/>
      <c r="H51" s="51"/>
      <c r="I51" s="83"/>
      <c r="Q51" s="48">
        <v>0</v>
      </c>
      <c r="R51" s="120">
        <f t="shared" si="1"/>
        <v>0</v>
      </c>
      <c r="S51" s="48"/>
      <c r="T51" s="48"/>
      <c r="U51" s="121">
        <v>42935</v>
      </c>
      <c r="V51" s="122">
        <f t="shared" si="2"/>
        <v>5611.48378688307</v>
      </c>
      <c r="W51" s="123" t="s">
        <v>219</v>
      </c>
      <c r="X51" s="120">
        <f>Q51+135</f>
        <v>135</v>
      </c>
      <c r="Y51" s="120">
        <f t="shared" si="3"/>
        <v>17.6441204432099</v>
      </c>
      <c r="Z51" s="120">
        <f t="shared" ref="Z51:Z54" si="8">X51</f>
        <v>135</v>
      </c>
      <c r="AA51" s="120"/>
      <c r="AB51" s="116">
        <f t="shared" si="4"/>
        <v>42935</v>
      </c>
      <c r="AC51" s="120">
        <f t="shared" si="5"/>
        <v>5611.48378688307</v>
      </c>
      <c r="AD51" s="144"/>
      <c r="AE51" s="9"/>
      <c r="AF51" s="145">
        <f t="shared" si="6"/>
        <v>135</v>
      </c>
      <c r="AG51" s="145">
        <f t="shared" si="7"/>
        <v>135</v>
      </c>
    </row>
    <row r="52" spans="1:33" outlineLevel="1" x14ac:dyDescent="0.15">
      <c r="A52" s="47">
        <v>2</v>
      </c>
      <c r="B52" s="7" t="s">
        <v>65</v>
      </c>
      <c r="C52" s="48">
        <v>9121</v>
      </c>
      <c r="D52" s="43">
        <f t="shared" si="0"/>
        <v>1192.0890560186399</v>
      </c>
      <c r="E52" s="49">
        <v>0.10199999999999999</v>
      </c>
      <c r="F52" s="26"/>
      <c r="G52" s="50"/>
      <c r="H52" s="51"/>
      <c r="I52" s="83"/>
      <c r="Q52" s="48">
        <v>0</v>
      </c>
      <c r="R52" s="120">
        <f t="shared" si="1"/>
        <v>0</v>
      </c>
      <c r="S52" s="48"/>
      <c r="T52" s="48"/>
      <c r="U52" s="121">
        <v>8576</v>
      </c>
      <c r="V52" s="122">
        <f t="shared" si="2"/>
        <v>1120.8590883034601</v>
      </c>
      <c r="W52" s="123" t="s">
        <v>222</v>
      </c>
      <c r="X52" s="120">
        <f t="shared" ref="X52:X54" si="9">Q52</f>
        <v>0</v>
      </c>
      <c r="Y52" s="120">
        <f t="shared" si="3"/>
        <v>0</v>
      </c>
      <c r="Z52" s="120">
        <f t="shared" si="8"/>
        <v>0</v>
      </c>
      <c r="AA52" s="120"/>
      <c r="AB52" s="116">
        <f t="shared" si="4"/>
        <v>8576</v>
      </c>
      <c r="AC52" s="120">
        <f t="shared" si="5"/>
        <v>1120.8590883034601</v>
      </c>
      <c r="AD52" s="144"/>
      <c r="AE52" s="9"/>
      <c r="AF52" s="145">
        <f t="shared" si="6"/>
        <v>0</v>
      </c>
      <c r="AG52" s="145">
        <f t="shared" si="7"/>
        <v>0</v>
      </c>
    </row>
    <row r="53" spans="1:33" outlineLevel="1" x14ac:dyDescent="0.15">
      <c r="A53" s="47">
        <v>3</v>
      </c>
      <c r="B53" s="7" t="s">
        <v>71</v>
      </c>
      <c r="C53" s="48">
        <v>4552</v>
      </c>
      <c r="D53" s="43">
        <f t="shared" si="0"/>
        <v>594.93360190734199</v>
      </c>
      <c r="E53" s="49">
        <v>6.2E-2</v>
      </c>
      <c r="F53" s="26"/>
      <c r="G53" s="50"/>
      <c r="H53" s="51"/>
      <c r="I53" s="83"/>
      <c r="Q53" s="48">
        <v>0</v>
      </c>
      <c r="R53" s="120">
        <f t="shared" si="1"/>
        <v>0</v>
      </c>
      <c r="S53" s="48"/>
      <c r="T53" s="48"/>
      <c r="U53" s="121">
        <v>6599.99999999999</v>
      </c>
      <c r="V53" s="122">
        <f t="shared" si="2"/>
        <v>862.601443890258</v>
      </c>
      <c r="W53" s="123" t="s">
        <v>224</v>
      </c>
      <c r="X53" s="120">
        <f t="shared" si="9"/>
        <v>0</v>
      </c>
      <c r="Y53" s="120">
        <f t="shared" si="3"/>
        <v>0</v>
      </c>
      <c r="Z53" s="120">
        <f t="shared" si="8"/>
        <v>0</v>
      </c>
      <c r="AA53" s="120"/>
      <c r="AB53" s="116">
        <f t="shared" si="4"/>
        <v>6599.99999999999</v>
      </c>
      <c r="AC53" s="120">
        <f t="shared" si="5"/>
        <v>862.601443890258</v>
      </c>
      <c r="AD53" s="144"/>
      <c r="AE53" s="9"/>
      <c r="AF53" s="145">
        <f t="shared" si="6"/>
        <v>0</v>
      </c>
      <c r="AG53" s="145">
        <f t="shared" si="7"/>
        <v>0</v>
      </c>
    </row>
    <row r="54" spans="1:33" outlineLevel="1" x14ac:dyDescent="0.15">
      <c r="A54" s="47">
        <v>4</v>
      </c>
      <c r="B54" s="7" t="s">
        <v>383</v>
      </c>
      <c r="C54" s="48">
        <v>0</v>
      </c>
      <c r="D54" s="43">
        <f t="shared" si="0"/>
        <v>0</v>
      </c>
      <c r="E54" s="49"/>
      <c r="F54" s="26"/>
      <c r="G54" s="50"/>
      <c r="H54" s="51"/>
      <c r="I54" s="83"/>
      <c r="Q54" s="48">
        <v>0</v>
      </c>
      <c r="R54" s="120">
        <f t="shared" si="1"/>
        <v>0</v>
      </c>
      <c r="S54" s="48"/>
      <c r="T54" s="48"/>
      <c r="U54" s="121"/>
      <c r="V54" s="122">
        <f t="shared" si="2"/>
        <v>0</v>
      </c>
      <c r="W54" s="123"/>
      <c r="X54" s="120">
        <f t="shared" si="9"/>
        <v>0</v>
      </c>
      <c r="Y54" s="120">
        <f t="shared" si="3"/>
        <v>0</v>
      </c>
      <c r="Z54" s="120">
        <f t="shared" si="8"/>
        <v>0</v>
      </c>
      <c r="AA54" s="120"/>
      <c r="AB54" s="116">
        <f t="shared" si="4"/>
        <v>0</v>
      </c>
      <c r="AC54" s="120">
        <f t="shared" si="5"/>
        <v>0</v>
      </c>
      <c r="AD54" s="144"/>
      <c r="AE54" s="9"/>
      <c r="AF54" s="145">
        <f t="shared" si="6"/>
        <v>0</v>
      </c>
      <c r="AG54" s="145">
        <f t="shared" si="7"/>
        <v>0</v>
      </c>
    </row>
    <row r="55" spans="1:33" s="1" customFormat="1" x14ac:dyDescent="0.15">
      <c r="A55" s="40" t="s">
        <v>45</v>
      </c>
      <c r="B55" s="41" t="s">
        <v>610</v>
      </c>
      <c r="C55" s="42">
        <f>C56+C59+C64+C73+C77+C78</f>
        <v>83800</v>
      </c>
      <c r="D55" s="43">
        <f t="shared" si="0"/>
        <v>10952.4243936369</v>
      </c>
      <c r="E55" s="44"/>
      <c r="F55" s="45"/>
      <c r="G55" s="46"/>
      <c r="H55" s="16"/>
      <c r="I55" s="81"/>
      <c r="J55" s="42">
        <f>J56+J59+J64+J73+J77+J78</f>
        <v>27750.912867999999</v>
      </c>
      <c r="K55" s="42">
        <f>K56+K59+K64+K73+K77+K78</f>
        <v>27641.321268</v>
      </c>
      <c r="L55" s="82"/>
      <c r="M55" s="82"/>
      <c r="N55" s="82"/>
      <c r="O55" s="82"/>
      <c r="P55" s="82"/>
      <c r="Q55" s="42">
        <f t="shared" ref="Q55:S55" si="10">Q56+Q59+Q64+Q73+Q77+Q78</f>
        <v>43343.675129999996</v>
      </c>
      <c r="R55" s="42">
        <f t="shared" si="10"/>
        <v>5664.8964773709586</v>
      </c>
      <c r="S55" s="42">
        <f t="shared" si="10"/>
        <v>2381.6323640000001</v>
      </c>
      <c r="T55" s="42"/>
      <c r="U55" s="42">
        <f t="shared" ref="U55:AA55" si="11">U56+U59+U64+U73+U77+U78</f>
        <v>66380.337361990794</v>
      </c>
      <c r="V55" s="42">
        <f t="shared" si="11"/>
        <v>8675.7234627842099</v>
      </c>
      <c r="W55" s="119"/>
      <c r="X55" s="42">
        <f t="shared" si="11"/>
        <v>45241.53974</v>
      </c>
      <c r="Y55" s="42">
        <f t="shared" si="11"/>
        <v>5912.9420459912944</v>
      </c>
      <c r="Z55" s="42">
        <f t="shared" si="11"/>
        <v>2517.827015732546</v>
      </c>
      <c r="AA55" s="42">
        <f t="shared" si="11"/>
        <v>2392.6818939999998</v>
      </c>
      <c r="AB55" s="116">
        <f t="shared" si="4"/>
        <v>66380.337361990794</v>
      </c>
      <c r="AC55" s="116"/>
      <c r="AD55" s="137"/>
      <c r="AF55" s="143"/>
      <c r="AG55" s="143"/>
    </row>
    <row r="56" spans="1:33" x14ac:dyDescent="0.15">
      <c r="A56" s="47" t="s">
        <v>611</v>
      </c>
      <c r="B56" s="52" t="s">
        <v>130</v>
      </c>
      <c r="C56" s="53">
        <v>4550</v>
      </c>
      <c r="D56" s="43">
        <f t="shared" si="0"/>
        <v>594.67220753040601</v>
      </c>
      <c r="E56" s="49"/>
      <c r="F56" s="26"/>
      <c r="G56" s="50"/>
      <c r="H56" s="51"/>
      <c r="I56" s="83"/>
      <c r="J56" s="11">
        <f>J57</f>
        <v>4148.6409469999999</v>
      </c>
      <c r="K56" s="11">
        <f>K57</f>
        <v>4148.6409469999999</v>
      </c>
      <c r="Q56" s="48">
        <f>[3]海景202302科目余额表!N284/10000</f>
        <v>4148.6409469999999</v>
      </c>
      <c r="R56" s="120">
        <f t="shared" ref="R56:R62" si="12">Q56/Q$26*10000</f>
        <v>542.21570773703831</v>
      </c>
      <c r="S56" s="48">
        <v>0</v>
      </c>
      <c r="T56" s="48" t="s">
        <v>551</v>
      </c>
      <c r="U56" s="121">
        <v>4550</v>
      </c>
      <c r="V56" s="122">
        <f t="shared" ref="V56:V62" si="13">U56/$C$26*10000</f>
        <v>594.67220753040601</v>
      </c>
      <c r="W56" s="123">
        <f>U56/U50</f>
        <v>7.8298428868888895E-2</v>
      </c>
      <c r="X56" s="120">
        <f t="shared" ref="X56:X58" si="14">Q56</f>
        <v>4148.6409469999999</v>
      </c>
      <c r="Y56" s="120">
        <f t="shared" ref="Y56:Y62" si="15">X56/X$26*10000</f>
        <v>542.21570773703831</v>
      </c>
      <c r="Z56" s="120">
        <f>Z57</f>
        <v>10.5702878973</v>
      </c>
      <c r="AA56" s="120"/>
      <c r="AB56" s="116">
        <f t="shared" si="4"/>
        <v>4550</v>
      </c>
      <c r="AC56" s="120">
        <f t="shared" ref="AC56:AC62" si="16">AB56/AB$26*10000</f>
        <v>594.67220753040601</v>
      </c>
      <c r="AD56" s="144"/>
      <c r="AE56" s="9"/>
      <c r="AF56" s="145">
        <f t="shared" ref="AF56:AF60" si="17">X56-Q56</f>
        <v>0</v>
      </c>
      <c r="AG56" s="145">
        <f t="shared" ref="AG56:AG62" si="18">Z56-S56</f>
        <v>10.5702878973</v>
      </c>
    </row>
    <row r="57" spans="1:33" s="3" customFormat="1" x14ac:dyDescent="0.15">
      <c r="A57" s="54">
        <v>1</v>
      </c>
      <c r="B57" s="55" t="s">
        <v>131</v>
      </c>
      <c r="C57" s="56"/>
      <c r="D57" s="57"/>
      <c r="E57" s="58"/>
      <c r="F57" s="59"/>
      <c r="G57" s="60"/>
      <c r="H57" s="61"/>
      <c r="I57" s="84"/>
      <c r="J57" s="85">
        <f>[3]海景202302科目余额表!N284/10000</f>
        <v>4148.6409469999999</v>
      </c>
      <c r="K57" s="85">
        <f t="shared" ref="K57:K61" si="19">J57</f>
        <v>4148.6409469999999</v>
      </c>
      <c r="L57" s="85"/>
      <c r="M57" s="85"/>
      <c r="N57" s="85"/>
      <c r="O57" s="85"/>
      <c r="P57" s="85"/>
      <c r="Q57" s="56">
        <f>Q56</f>
        <v>4148.6409469999999</v>
      </c>
      <c r="R57" s="124">
        <f t="shared" si="12"/>
        <v>542.21570773703831</v>
      </c>
      <c r="S57" s="56">
        <v>0</v>
      </c>
      <c r="T57" s="56"/>
      <c r="U57" s="125">
        <v>4550</v>
      </c>
      <c r="V57" s="126">
        <f t="shared" si="13"/>
        <v>594.67220753040601</v>
      </c>
      <c r="W57" s="127">
        <f>W56/U50</f>
        <v>1.34739427765636E-6</v>
      </c>
      <c r="X57" s="124">
        <f t="shared" si="14"/>
        <v>4148.6409469999999</v>
      </c>
      <c r="Y57" s="124">
        <f t="shared" si="15"/>
        <v>542.21570773703831</v>
      </c>
      <c r="Z57" s="124">
        <f>Z50*(U57/U50)</f>
        <v>10.5702878973</v>
      </c>
      <c r="AA57" s="124"/>
      <c r="AB57" s="116">
        <f t="shared" si="4"/>
        <v>4550</v>
      </c>
      <c r="AC57" s="124">
        <f t="shared" si="16"/>
        <v>594.67220753040601</v>
      </c>
      <c r="AD57" s="146"/>
      <c r="AF57" s="147">
        <f t="shared" si="17"/>
        <v>0</v>
      </c>
      <c r="AG57" s="147">
        <f t="shared" si="18"/>
        <v>10.5702878973</v>
      </c>
    </row>
    <row r="58" spans="1:33" s="3" customFormat="1" x14ac:dyDescent="0.15">
      <c r="A58" s="54">
        <v>2</v>
      </c>
      <c r="B58" s="55" t="s">
        <v>270</v>
      </c>
      <c r="C58" s="56"/>
      <c r="D58" s="57"/>
      <c r="E58" s="58"/>
      <c r="F58" s="59"/>
      <c r="G58" s="60"/>
      <c r="H58" s="61"/>
      <c r="I58" s="84"/>
      <c r="J58" s="85"/>
      <c r="K58" s="85"/>
      <c r="L58" s="85"/>
      <c r="M58" s="85"/>
      <c r="N58" s="85"/>
      <c r="O58" s="85"/>
      <c r="P58" s="85"/>
      <c r="Q58" s="56">
        <f>Q56-Q57</f>
        <v>0</v>
      </c>
      <c r="R58" s="124">
        <f t="shared" si="12"/>
        <v>0</v>
      </c>
      <c r="S58" s="56"/>
      <c r="T58" s="56"/>
      <c r="U58" s="125">
        <v>0</v>
      </c>
      <c r="V58" s="126">
        <f t="shared" si="13"/>
        <v>0</v>
      </c>
      <c r="W58" s="128"/>
      <c r="X58" s="124">
        <f t="shared" si="14"/>
        <v>0</v>
      </c>
      <c r="Y58" s="124">
        <f t="shared" si="15"/>
        <v>0</v>
      </c>
      <c r="Z58" s="124"/>
      <c r="AA58" s="124"/>
      <c r="AB58" s="116">
        <f t="shared" si="4"/>
        <v>0</v>
      </c>
      <c r="AC58" s="124">
        <f t="shared" si="16"/>
        <v>0</v>
      </c>
      <c r="AD58" s="146"/>
      <c r="AF58" s="147">
        <f t="shared" si="17"/>
        <v>0</v>
      </c>
      <c r="AG58" s="147">
        <f t="shared" si="18"/>
        <v>0</v>
      </c>
    </row>
    <row r="59" spans="1:33" ht="41.65" customHeight="1" x14ac:dyDescent="0.15">
      <c r="A59" s="54" t="s">
        <v>612</v>
      </c>
      <c r="B59" s="52" t="s">
        <v>386</v>
      </c>
      <c r="C59" s="53">
        <f>C60</f>
        <v>58319</v>
      </c>
      <c r="D59" s="62">
        <f t="shared" ref="D59:D62" si="20">C59/C$26*10000</f>
        <v>7622.1293342781901</v>
      </c>
      <c r="E59" s="63"/>
      <c r="F59" s="26" t="s">
        <v>613</v>
      </c>
      <c r="G59" s="29" t="s">
        <v>614</v>
      </c>
      <c r="H59" s="26" t="s">
        <v>615</v>
      </c>
      <c r="I59" s="26" t="s">
        <v>616</v>
      </c>
      <c r="J59" s="76">
        <f>([3]海景202302科目余额表!N282-[3]海景202302科目余额表!N284)/10000</f>
        <v>21111.047956999999</v>
      </c>
      <c r="K59" s="48">
        <f>+K60+K61</f>
        <v>21111.047956999999</v>
      </c>
      <c r="L59" s="48"/>
      <c r="M59" s="48"/>
      <c r="N59" s="48"/>
      <c r="O59" s="48"/>
      <c r="Q59" s="48">
        <f>+Q60+Q61</f>
        <v>36813.401818999999</v>
      </c>
      <c r="R59" s="120">
        <f t="shared" si="12"/>
        <v>4811.4081156941966</v>
      </c>
      <c r="S59" s="48"/>
      <c r="T59" s="48" t="s">
        <v>551</v>
      </c>
      <c r="U59" s="121">
        <f>SUM(U60:U62)</f>
        <v>49318.949399999998</v>
      </c>
      <c r="V59" s="122">
        <f t="shared" si="13"/>
        <v>6445.84802478646</v>
      </c>
      <c r="W59" s="129"/>
      <c r="X59" s="130">
        <f>Q59+'[3]2023年3月~2024年2月科目余额表'!J253/10000</f>
        <v>38700.216898999999</v>
      </c>
      <c r="Y59" s="130">
        <f t="shared" si="15"/>
        <v>5058.009541809638</v>
      </c>
      <c r="Z59" s="130">
        <f>Z60+Z61</f>
        <v>114.574833835246</v>
      </c>
      <c r="AA59" s="130"/>
      <c r="AB59" s="116">
        <f t="shared" si="4"/>
        <v>49318.949399999998</v>
      </c>
      <c r="AC59" s="120">
        <f t="shared" si="16"/>
        <v>6445.84802478646</v>
      </c>
      <c r="AD59" s="144"/>
      <c r="AE59" s="9"/>
      <c r="AF59" s="145">
        <f t="shared" si="17"/>
        <v>1886.8150800000003</v>
      </c>
      <c r="AG59" s="145">
        <f t="shared" si="18"/>
        <v>114.574833835246</v>
      </c>
    </row>
    <row r="60" spans="1:33" outlineLevel="1" x14ac:dyDescent="0.15">
      <c r="A60" s="54">
        <v>1</v>
      </c>
      <c r="B60" s="55" t="s">
        <v>133</v>
      </c>
      <c r="C60" s="56">
        <v>58319</v>
      </c>
      <c r="D60" s="57">
        <f t="shared" si="20"/>
        <v>7622.1293342781901</v>
      </c>
      <c r="E60" s="58"/>
      <c r="F60" s="26"/>
      <c r="G60" s="60"/>
      <c r="H60" s="51"/>
      <c r="I60" s="83"/>
      <c r="J60" s="11">
        <f>Q60</f>
        <v>13121.056756</v>
      </c>
      <c r="K60" s="11">
        <f t="shared" si="19"/>
        <v>13121.056756</v>
      </c>
      <c r="Q60" s="48">
        <f>([3]海景202302科目余额表!N282-[3]海景202302科目余额表!N284)/10000-S234-S232</f>
        <v>13121.056756</v>
      </c>
      <c r="R60" s="120">
        <f t="shared" si="12"/>
        <v>1714.8852277411577</v>
      </c>
      <c r="S60" s="48"/>
      <c r="T60" s="48"/>
      <c r="U60" s="121">
        <f>3100*C26/10000</f>
        <v>23718.949400000001</v>
      </c>
      <c r="V60" s="122">
        <f t="shared" si="13"/>
        <v>3100</v>
      </c>
      <c r="W60" s="129" t="s">
        <v>228</v>
      </c>
      <c r="X60" s="131">
        <f>X59-X61</f>
        <v>15007.871835999998</v>
      </c>
      <c r="Y60" s="130">
        <f t="shared" si="15"/>
        <v>1961.4866538565991</v>
      </c>
      <c r="Z60" s="130">
        <f>Z50*(U60/U50)</f>
        <v>55.102444786701298</v>
      </c>
      <c r="AA60" s="130"/>
      <c r="AB60" s="116">
        <f t="shared" si="4"/>
        <v>23718.949400000001</v>
      </c>
      <c r="AC60" s="120">
        <f t="shared" si="16"/>
        <v>3100</v>
      </c>
      <c r="AD60" s="144"/>
      <c r="AE60" s="9"/>
      <c r="AF60" s="145">
        <f t="shared" si="17"/>
        <v>1886.8150799999985</v>
      </c>
      <c r="AG60" s="145">
        <f t="shared" si="18"/>
        <v>55.102444786701298</v>
      </c>
    </row>
    <row r="61" spans="1:33" outlineLevel="1" x14ac:dyDescent="0.15">
      <c r="A61" s="54">
        <v>2</v>
      </c>
      <c r="B61" s="55" t="s">
        <v>134</v>
      </c>
      <c r="C61" s="56"/>
      <c r="D61" s="57">
        <f t="shared" si="20"/>
        <v>0</v>
      </c>
      <c r="E61" s="58"/>
      <c r="F61" s="26"/>
      <c r="G61" s="60"/>
      <c r="H61" s="51"/>
      <c r="I61" s="83"/>
      <c r="J61" s="11">
        <f>J59-J60</f>
        <v>7989.9912009999989</v>
      </c>
      <c r="K61" s="11">
        <f t="shared" si="19"/>
        <v>7989.9912009999989</v>
      </c>
      <c r="L61" s="11">
        <v>12000</v>
      </c>
      <c r="M61" s="11">
        <v>4500</v>
      </c>
      <c r="N61" s="11">
        <v>-2000</v>
      </c>
      <c r="O61" s="11">
        <f>K108</f>
        <v>-787.64027599999974</v>
      </c>
      <c r="P61" s="11">
        <f>12000+1202+2500</f>
        <v>15702</v>
      </c>
      <c r="Q61" s="48">
        <f>(-[3]海景202302科目余额表!O245-[3]海景202302科目余额表!O247-[3]海景202302科目余额表!O248-[3]海景202302科目余额表!O249-[3]海景202302科目余额表!O267-[3]海景202302科目余额表!O276)/10000+[3]聚荣投入!E34/10000+[3]聚荣投入!F99/10000+[3]海景202302科目余额表!N45/10000+[3]合作方收回!E25+S233+S234+S232</f>
        <v>23692.345063000001</v>
      </c>
      <c r="R61" s="120">
        <f t="shared" si="12"/>
        <v>3096.5228879530387</v>
      </c>
      <c r="S61" s="48"/>
      <c r="T61" s="48"/>
      <c r="U61" s="121">
        <v>25600</v>
      </c>
      <c r="V61" s="122">
        <f t="shared" si="13"/>
        <v>3345.84802478646</v>
      </c>
      <c r="W61" s="132" t="s">
        <v>231</v>
      </c>
      <c r="X61" s="130">
        <f>Q61</f>
        <v>23692.345063000001</v>
      </c>
      <c r="Y61" s="130">
        <f t="shared" si="15"/>
        <v>3096.5228879530387</v>
      </c>
      <c r="Z61" s="130">
        <f>Z50*(U61/U50)</f>
        <v>59.472389048544997</v>
      </c>
      <c r="AA61" s="130"/>
      <c r="AB61" s="116">
        <f t="shared" si="4"/>
        <v>25600</v>
      </c>
      <c r="AC61" s="120">
        <f t="shared" si="16"/>
        <v>3345.84802478646</v>
      </c>
      <c r="AD61" s="144"/>
      <c r="AE61" s="9"/>
      <c r="AF61" s="145"/>
      <c r="AG61" s="145">
        <f t="shared" si="18"/>
        <v>59.472389048544997</v>
      </c>
    </row>
    <row r="62" spans="1:33" outlineLevel="1" x14ac:dyDescent="0.15">
      <c r="A62" s="54">
        <v>3</v>
      </c>
      <c r="B62" s="55" t="s">
        <v>390</v>
      </c>
      <c r="C62" s="56"/>
      <c r="D62" s="57">
        <f t="shared" si="20"/>
        <v>0</v>
      </c>
      <c r="E62" s="58"/>
      <c r="F62" s="26"/>
      <c r="G62" s="60"/>
      <c r="H62" s="51"/>
      <c r="I62" s="26"/>
      <c r="J62" s="76"/>
      <c r="K62" s="76"/>
      <c r="L62" s="76"/>
      <c r="M62" s="76"/>
      <c r="N62" s="76"/>
      <c r="O62" s="76"/>
      <c r="Q62" s="48"/>
      <c r="R62" s="130">
        <f t="shared" si="12"/>
        <v>0</v>
      </c>
      <c r="S62" s="48"/>
      <c r="T62" s="48"/>
      <c r="U62" s="121"/>
      <c r="V62" s="122">
        <f t="shared" si="13"/>
        <v>0</v>
      </c>
      <c r="W62" s="132"/>
      <c r="X62" s="130"/>
      <c r="Y62" s="130">
        <f t="shared" si="15"/>
        <v>0</v>
      </c>
      <c r="Z62" s="130"/>
      <c r="AA62" s="130"/>
      <c r="AB62" s="116">
        <f t="shared" si="4"/>
        <v>0</v>
      </c>
      <c r="AC62" s="120">
        <f t="shared" si="16"/>
        <v>0</v>
      </c>
      <c r="AD62" s="144"/>
      <c r="AE62" s="9"/>
      <c r="AF62" s="145">
        <f t="shared" ref="AF62:AF80" si="21">X62-Q62</f>
        <v>0</v>
      </c>
      <c r="AG62" s="145">
        <f t="shared" si="18"/>
        <v>0</v>
      </c>
    </row>
    <row r="63" spans="1:33" s="1" customFormat="1" x14ac:dyDescent="0.15">
      <c r="A63" s="64"/>
      <c r="B63" s="52" t="s">
        <v>135</v>
      </c>
      <c r="C63" s="65">
        <f>C50-C56-C59</f>
        <v>26977</v>
      </c>
      <c r="D63" s="65">
        <f>D50-D56-D59</f>
        <v>3525.8180533072</v>
      </c>
      <c r="E63" s="66"/>
      <c r="F63" s="45"/>
      <c r="G63" s="67"/>
      <c r="H63" s="16"/>
      <c r="I63" s="45"/>
      <c r="J63" s="65">
        <f>J50-J56-J59</f>
        <v>-25259.688903999999</v>
      </c>
      <c r="K63" s="65">
        <f>K50-K56-K59</f>
        <v>-25259.688903999999</v>
      </c>
      <c r="L63" s="86"/>
      <c r="M63" s="86"/>
      <c r="N63" s="86"/>
      <c r="O63" s="86"/>
      <c r="P63" s="82"/>
      <c r="Q63" s="65">
        <f t="shared" ref="Q63:S63" si="22">Q50-Q56-Q59</f>
        <v>-40962.042765999999</v>
      </c>
      <c r="R63" s="65">
        <f t="shared" si="22"/>
        <v>-5353.623823431235</v>
      </c>
      <c r="S63" s="65">
        <f t="shared" si="22"/>
        <v>0</v>
      </c>
      <c r="T63" s="42"/>
      <c r="U63" s="117">
        <f t="shared" ref="U63:AA63" si="23">U50-U56-U59</f>
        <v>4242.0505999999996</v>
      </c>
      <c r="V63" s="65">
        <f t="shared" si="23"/>
        <v>554.42408675992999</v>
      </c>
      <c r="W63" s="91"/>
      <c r="X63" s="65">
        <f t="shared" si="23"/>
        <v>-42713.857845999999</v>
      </c>
      <c r="Y63" s="65">
        <f t="shared" si="23"/>
        <v>-5582.5811291034661</v>
      </c>
      <c r="Z63" s="148">
        <f t="shared" si="23"/>
        <v>9.8548782674536604</v>
      </c>
      <c r="AA63" s="65">
        <f t="shared" si="23"/>
        <v>0</v>
      </c>
      <c r="AB63" s="116">
        <f t="shared" si="4"/>
        <v>4242.0505999999996</v>
      </c>
      <c r="AC63" s="116"/>
      <c r="AD63" s="137"/>
      <c r="AF63" s="143"/>
      <c r="AG63" s="143"/>
    </row>
    <row r="64" spans="1:33" s="4" customFormat="1" x14ac:dyDescent="0.15">
      <c r="A64" s="68" t="s">
        <v>617</v>
      </c>
      <c r="B64" s="69" t="s">
        <v>137</v>
      </c>
      <c r="C64" s="70">
        <f>C65+C66+C69</f>
        <v>13739</v>
      </c>
      <c r="D64" s="71">
        <f t="shared" ref="D64:D76" si="24">C64/C$26*10000</f>
        <v>1795.64867236489</v>
      </c>
      <c r="E64" s="66"/>
      <c r="F64" s="72"/>
      <c r="G64" s="72"/>
      <c r="H64" s="72"/>
      <c r="I64" s="72"/>
      <c r="J64" s="87">
        <f>J65+J66+J69</f>
        <v>1876.8775239999998</v>
      </c>
      <c r="K64" s="87">
        <f>K65+K66+K69</f>
        <v>1767.285924</v>
      </c>
      <c r="L64" s="87"/>
      <c r="M64" s="87"/>
      <c r="N64" s="87"/>
      <c r="O64" s="87"/>
      <c r="P64" s="88"/>
      <c r="Q64" s="70">
        <f>Q65+Q66+Q69</f>
        <v>1767.285924</v>
      </c>
      <c r="R64" s="133">
        <f t="shared" ref="R64:R79" si="25">Q64/Q$26*10000</f>
        <v>230.97930148626227</v>
      </c>
      <c r="S64" s="70">
        <f>S65+S66+S69</f>
        <v>1767.285924</v>
      </c>
      <c r="T64" s="70"/>
      <c r="U64" s="134">
        <f>+U65+U66+U69</f>
        <v>12039.89112</v>
      </c>
      <c r="V64" s="135">
        <f t="shared" ref="V64:V76" si="26">U64/$C$26*10000</f>
        <v>1573.5799188475</v>
      </c>
      <c r="W64" s="136">
        <f>W159</f>
        <v>0</v>
      </c>
      <c r="X64" s="70">
        <f>X65+X66+X69</f>
        <v>1770.3214979999998</v>
      </c>
      <c r="Y64" s="133">
        <f t="shared" ref="Y64:Y79" si="27">X64/X$26*10000</f>
        <v>231.3760424734495</v>
      </c>
      <c r="Z64" s="70">
        <f t="shared" ref="Z64:Z71" si="28">X64</f>
        <v>1770.3214979999998</v>
      </c>
      <c r="AA64" s="70">
        <f t="shared" ref="AA64:AA78" si="29">Z64</f>
        <v>1770.3214979999998</v>
      </c>
      <c r="AB64" s="116">
        <f t="shared" si="4"/>
        <v>12039.89112</v>
      </c>
      <c r="AC64" s="149">
        <f t="shared" ref="AC64:AC79" si="30">AB64/AB$26*10000</f>
        <v>1573.5799188475</v>
      </c>
      <c r="AD64" s="150"/>
      <c r="AE64" s="151"/>
      <c r="AF64" s="151">
        <f t="shared" si="21"/>
        <v>3.0355739999997695</v>
      </c>
      <c r="AG64" s="151">
        <f t="shared" ref="AG64:AG80" si="31">Z64-S64</f>
        <v>3.0355739999997695</v>
      </c>
    </row>
    <row r="65" spans="1:33" ht="42.75" x14ac:dyDescent="0.15">
      <c r="A65" s="47">
        <v>1</v>
      </c>
      <c r="B65" s="7" t="s">
        <v>89</v>
      </c>
      <c r="C65" s="48">
        <v>2066</v>
      </c>
      <c r="D65" s="152">
        <f t="shared" si="24"/>
        <v>270.02039137534501</v>
      </c>
      <c r="E65" s="49"/>
      <c r="F65" s="26"/>
      <c r="G65" s="26"/>
      <c r="H65" s="26" t="s">
        <v>618</v>
      </c>
      <c r="I65" s="26" t="s">
        <v>619</v>
      </c>
      <c r="J65" s="76">
        <f>[3]海景202302科目余额表!J386/10000</f>
        <v>482.096316</v>
      </c>
      <c r="K65" s="76">
        <f t="shared" ref="K65:K71" si="32">J65</f>
        <v>482.096316</v>
      </c>
      <c r="L65" s="76"/>
      <c r="M65" s="76"/>
      <c r="N65" s="76"/>
      <c r="O65" s="76"/>
      <c r="Q65" s="184">
        <f>[3]海景202302科目余额表!J386/10000</f>
        <v>482.096316</v>
      </c>
      <c r="R65" s="120">
        <f t="shared" si="25"/>
        <v>63.008633072087079</v>
      </c>
      <c r="S65" s="184">
        <f t="shared" ref="S65:S71" si="33">Q65</f>
        <v>482.096316</v>
      </c>
      <c r="T65" s="184"/>
      <c r="U65" s="121">
        <v>3370.446062</v>
      </c>
      <c r="V65" s="122">
        <f t="shared" si="26"/>
        <v>440.50782418718802</v>
      </c>
      <c r="W65" s="129" t="s">
        <v>232</v>
      </c>
      <c r="X65" s="130">
        <f>Q65+'[3]2023年3月~2024年2月科目余额表'!J329/10000</f>
        <v>744.192228</v>
      </c>
      <c r="Y65" s="130">
        <f t="shared" si="27"/>
        <v>97.263831879501367</v>
      </c>
      <c r="Z65" s="130">
        <f t="shared" si="28"/>
        <v>744.192228</v>
      </c>
      <c r="AA65" s="48">
        <f t="shared" si="29"/>
        <v>744.192228</v>
      </c>
      <c r="AB65" s="116">
        <f t="shared" si="4"/>
        <v>3370.446062</v>
      </c>
      <c r="AC65" s="120">
        <f t="shared" si="30"/>
        <v>440.50782418718802</v>
      </c>
      <c r="AD65" s="144"/>
      <c r="AE65" s="145"/>
      <c r="AF65" s="145">
        <f t="shared" si="21"/>
        <v>262.095912</v>
      </c>
      <c r="AG65" s="145">
        <f t="shared" si="31"/>
        <v>262.095912</v>
      </c>
    </row>
    <row r="66" spans="1:33" ht="85.5" x14ac:dyDescent="0.15">
      <c r="A66" s="47">
        <v>2</v>
      </c>
      <c r="B66" s="7" t="s">
        <v>93</v>
      </c>
      <c r="C66" s="48">
        <f>SUM(C67:C68)</f>
        <v>5570</v>
      </c>
      <c r="D66" s="152">
        <f t="shared" si="24"/>
        <v>727.98333976799199</v>
      </c>
      <c r="E66" s="49"/>
      <c r="F66" s="26" t="s">
        <v>593</v>
      </c>
      <c r="G66" s="26"/>
      <c r="H66" s="26" t="s">
        <v>620</v>
      </c>
      <c r="I66" s="26" t="s">
        <v>621</v>
      </c>
      <c r="J66" s="174">
        <f>SUM(J67:J68)</f>
        <v>824.20445899999982</v>
      </c>
      <c r="K66" s="174">
        <f>SUM(K67:K68)</f>
        <v>714.61285899999984</v>
      </c>
      <c r="L66" s="174"/>
      <c r="M66" s="174"/>
      <c r="N66" s="174"/>
      <c r="O66" s="174"/>
      <c r="Q66" s="184">
        <f>SUM(Q67:Q68)</f>
        <v>714.61285899999984</v>
      </c>
      <c r="R66" s="120">
        <f t="shared" si="25"/>
        <v>93.397891514537292</v>
      </c>
      <c r="S66" s="184">
        <f t="shared" si="33"/>
        <v>714.61285899999984</v>
      </c>
      <c r="T66" s="184"/>
      <c r="U66" s="121">
        <v>1278.445058</v>
      </c>
      <c r="V66" s="122">
        <f t="shared" si="26"/>
        <v>167.08917469169199</v>
      </c>
      <c r="W66" s="129" t="s">
        <v>233</v>
      </c>
      <c r="X66" s="184">
        <f>SUM(X67:X68)</f>
        <v>866.78888499999994</v>
      </c>
      <c r="Y66" s="120">
        <f t="shared" si="27"/>
        <v>113.28687026500423</v>
      </c>
      <c r="Z66" s="184">
        <f t="shared" si="28"/>
        <v>866.78888499999994</v>
      </c>
      <c r="AA66" s="48">
        <f t="shared" si="29"/>
        <v>866.78888499999994</v>
      </c>
      <c r="AB66" s="116">
        <f t="shared" si="4"/>
        <v>1278.445058</v>
      </c>
      <c r="AC66" s="120">
        <f t="shared" si="30"/>
        <v>167.08917469169199</v>
      </c>
      <c r="AD66" s="144"/>
      <c r="AE66" s="145"/>
      <c r="AF66" s="145">
        <f t="shared" si="21"/>
        <v>152.17602600000009</v>
      </c>
      <c r="AG66" s="145">
        <f t="shared" si="31"/>
        <v>152.17602600000009</v>
      </c>
    </row>
    <row r="67" spans="1:33" outlineLevel="1" x14ac:dyDescent="0.15">
      <c r="A67" s="47">
        <v>2.1</v>
      </c>
      <c r="B67" s="7" t="s">
        <v>138</v>
      </c>
      <c r="C67" s="48">
        <v>2875</v>
      </c>
      <c r="D67" s="43">
        <f t="shared" si="24"/>
        <v>375.754416846136</v>
      </c>
      <c r="E67" s="49"/>
      <c r="F67" s="26"/>
      <c r="G67" s="50"/>
      <c r="H67" s="26"/>
      <c r="I67" s="83"/>
      <c r="J67" s="11">
        <f>[3]海景202302科目余额表!J469/10000-J68</f>
        <v>527.17475602970285</v>
      </c>
      <c r="K67" s="11">
        <f>[3]海景202302科目余额表!K469/10000-K68+[3]聚荣投入!F96/10000-[3]合作方收回!E25-S233</f>
        <v>417.58315602970276</v>
      </c>
      <c r="Q67" s="130">
        <f>[3]海景202302科目余额表!J469/10000-Q68+[3]聚荣投入!F96/10000-[3]合作方收回!E25-S233</f>
        <v>417.58315602970276</v>
      </c>
      <c r="R67" s="120">
        <f t="shared" si="25"/>
        <v>54.576944444768642</v>
      </c>
      <c r="S67" s="130">
        <f t="shared" si="33"/>
        <v>417.58315602970276</v>
      </c>
      <c r="T67" s="130"/>
      <c r="U67" s="121">
        <f>U66</f>
        <v>1278.445058</v>
      </c>
      <c r="V67" s="122">
        <f t="shared" si="26"/>
        <v>167.08917469169199</v>
      </c>
      <c r="W67" s="132"/>
      <c r="X67" s="120">
        <f>Q67+'[3]2023年3月~2024年2月科目余额表'!J386/10000+'[3]2023年3月~2024年2月科目余额表'!J436/10000</f>
        <v>569.75918202970286</v>
      </c>
      <c r="Y67" s="120">
        <f t="shared" si="27"/>
        <v>74.465923195235575</v>
      </c>
      <c r="Z67" s="120">
        <f t="shared" si="28"/>
        <v>569.75918202970286</v>
      </c>
      <c r="AA67" s="48">
        <f t="shared" si="29"/>
        <v>569.75918202970286</v>
      </c>
      <c r="AB67" s="116">
        <f t="shared" si="4"/>
        <v>1278.445058</v>
      </c>
      <c r="AC67" s="120">
        <f t="shared" si="30"/>
        <v>167.08917469169199</v>
      </c>
      <c r="AD67" s="144"/>
      <c r="AE67" s="145"/>
      <c r="AF67" s="145">
        <f t="shared" si="21"/>
        <v>152.17602600000009</v>
      </c>
      <c r="AG67" s="145">
        <f t="shared" si="31"/>
        <v>152.17602600000009</v>
      </c>
    </row>
    <row r="68" spans="1:33" outlineLevel="1" x14ac:dyDescent="0.15">
      <c r="A68" s="47">
        <v>2.2000000000000002</v>
      </c>
      <c r="B68" s="7" t="s">
        <v>139</v>
      </c>
      <c r="C68" s="48">
        <v>2695</v>
      </c>
      <c r="D68" s="43">
        <f t="shared" si="24"/>
        <v>352.228922921856</v>
      </c>
      <c r="E68" s="49"/>
      <c r="F68" s="26"/>
      <c r="G68" s="50"/>
      <c r="H68" s="26"/>
      <c r="I68" s="83"/>
      <c r="J68" s="11">
        <f>300/1.01</f>
        <v>297.02970297029702</v>
      </c>
      <c r="K68" s="175">
        <f>300/1.01</f>
        <v>297.02970297029702</v>
      </c>
      <c r="L68" s="175"/>
      <c r="M68" s="175"/>
      <c r="N68" s="175"/>
      <c r="O68" s="175"/>
      <c r="Q68" s="130">
        <f>300/1.01</f>
        <v>297.02970297029702</v>
      </c>
      <c r="R68" s="120">
        <f t="shared" si="25"/>
        <v>38.820947069768643</v>
      </c>
      <c r="S68" s="130">
        <f t="shared" si="33"/>
        <v>297.02970297029702</v>
      </c>
      <c r="T68" s="130"/>
      <c r="U68" s="121">
        <v>0</v>
      </c>
      <c r="V68" s="122">
        <f t="shared" si="26"/>
        <v>0</v>
      </c>
      <c r="W68" s="132"/>
      <c r="X68" s="120">
        <v>297.02970297029702</v>
      </c>
      <c r="Y68" s="120">
        <f t="shared" si="27"/>
        <v>38.820947069768643</v>
      </c>
      <c r="Z68" s="120">
        <f t="shared" si="28"/>
        <v>297.02970297029702</v>
      </c>
      <c r="AA68" s="48">
        <f t="shared" si="29"/>
        <v>297.02970297029702</v>
      </c>
      <c r="AB68" s="116">
        <f t="shared" si="4"/>
        <v>0</v>
      </c>
      <c r="AC68" s="120">
        <f t="shared" si="30"/>
        <v>0</v>
      </c>
      <c r="AD68" s="144"/>
      <c r="AE68" s="145"/>
      <c r="AF68" s="145">
        <f t="shared" si="21"/>
        <v>0</v>
      </c>
      <c r="AG68" s="145">
        <f t="shared" si="31"/>
        <v>0</v>
      </c>
    </row>
    <row r="69" spans="1:33" ht="57" x14ac:dyDescent="0.15">
      <c r="A69" s="47">
        <v>3</v>
      </c>
      <c r="B69" s="7" t="s">
        <v>98</v>
      </c>
      <c r="C69" s="48">
        <f>SUM(C70:C72)</f>
        <v>6103</v>
      </c>
      <c r="D69" s="48">
        <f t="shared" si="24"/>
        <v>797.64494122155304</v>
      </c>
      <c r="E69" s="49"/>
      <c r="F69" s="26" t="s">
        <v>397</v>
      </c>
      <c r="G69" s="50"/>
      <c r="H69" s="26" t="s">
        <v>622</v>
      </c>
      <c r="I69" s="83"/>
      <c r="J69" s="176">
        <f>SUM(J70:J72)</f>
        <v>570.57674900000006</v>
      </c>
      <c r="K69" s="176">
        <f t="shared" si="32"/>
        <v>570.57674900000006</v>
      </c>
      <c r="L69" s="176"/>
      <c r="M69" s="176"/>
      <c r="N69" s="176"/>
      <c r="O69" s="176"/>
      <c r="Q69" s="130">
        <f>SUM(Q70:Q72)</f>
        <v>570.57674900000006</v>
      </c>
      <c r="R69" s="120">
        <f t="shared" si="25"/>
        <v>74.572776899637887</v>
      </c>
      <c r="S69" s="130">
        <f t="shared" si="33"/>
        <v>570.57674900000006</v>
      </c>
      <c r="T69" s="130"/>
      <c r="U69" s="185">
        <v>7391</v>
      </c>
      <c r="V69" s="122">
        <f t="shared" si="26"/>
        <v>965.98291996862201</v>
      </c>
      <c r="W69" s="129" t="s">
        <v>236</v>
      </c>
      <c r="X69" s="130">
        <f>SUM(X70:X72)</f>
        <v>159.34038500000008</v>
      </c>
      <c r="Y69" s="130">
        <f t="shared" si="27"/>
        <v>20.82534032894392</v>
      </c>
      <c r="Z69" s="130">
        <f t="shared" si="28"/>
        <v>159.34038500000008</v>
      </c>
      <c r="AA69" s="48">
        <f t="shared" si="29"/>
        <v>159.34038500000008</v>
      </c>
      <c r="AB69" s="116">
        <f t="shared" si="4"/>
        <v>7391</v>
      </c>
      <c r="AC69" s="120">
        <f t="shared" si="30"/>
        <v>965.98291996862201</v>
      </c>
      <c r="AD69" s="144"/>
      <c r="AE69" s="145"/>
      <c r="AF69" s="145">
        <f t="shared" si="21"/>
        <v>-411.23636399999998</v>
      </c>
      <c r="AG69" s="145">
        <f t="shared" si="31"/>
        <v>-411.23636399999998</v>
      </c>
    </row>
    <row r="70" spans="1:33" outlineLevel="1" x14ac:dyDescent="0.15">
      <c r="A70" s="47">
        <v>3.1</v>
      </c>
      <c r="B70" s="7" t="s">
        <v>140</v>
      </c>
      <c r="C70" s="48">
        <v>4950</v>
      </c>
      <c r="D70" s="48">
        <f t="shared" si="24"/>
        <v>646.95108291769395</v>
      </c>
      <c r="E70" s="49"/>
      <c r="F70" s="26"/>
      <c r="G70" s="50"/>
      <c r="H70" s="51"/>
      <c r="I70" s="83"/>
      <c r="J70" s="11">
        <f>[3]海景202302科目余额表!J567/10000</f>
        <v>570</v>
      </c>
      <c r="K70" s="11">
        <f t="shared" si="32"/>
        <v>570</v>
      </c>
      <c r="Q70" s="48">
        <f>[3]海景202302科目余额表!J567/10000</f>
        <v>570</v>
      </c>
      <c r="R70" s="130">
        <f t="shared" si="25"/>
        <v>74.497397426886025</v>
      </c>
      <c r="S70" s="48">
        <f t="shared" si="33"/>
        <v>570</v>
      </c>
      <c r="T70" s="48"/>
      <c r="U70" s="121"/>
      <c r="V70" s="122">
        <f t="shared" si="26"/>
        <v>0</v>
      </c>
      <c r="W70" s="186"/>
      <c r="X70" s="130">
        <f>Q70+'[3]2023年3月~2024年2月科目余额表'!J439/10000</f>
        <v>84.444448000000023</v>
      </c>
      <c r="Y70" s="130">
        <f t="shared" si="27"/>
        <v>11.036651935350898</v>
      </c>
      <c r="Z70" s="130">
        <f t="shared" si="28"/>
        <v>84.444448000000023</v>
      </c>
      <c r="AA70" s="48">
        <f t="shared" si="29"/>
        <v>84.444448000000023</v>
      </c>
      <c r="AB70" s="116">
        <f t="shared" si="4"/>
        <v>0</v>
      </c>
      <c r="AC70" s="120">
        <f t="shared" si="30"/>
        <v>0</v>
      </c>
      <c r="AD70" s="144"/>
      <c r="AE70" s="145"/>
      <c r="AF70" s="145">
        <f t="shared" si="21"/>
        <v>-485.55555199999998</v>
      </c>
      <c r="AG70" s="145">
        <f t="shared" si="31"/>
        <v>-485.55555199999998</v>
      </c>
    </row>
    <row r="71" spans="1:33" outlineLevel="1" x14ac:dyDescent="0.15">
      <c r="A71" s="47">
        <v>3.2</v>
      </c>
      <c r="B71" s="7" t="s">
        <v>141</v>
      </c>
      <c r="C71" s="48"/>
      <c r="D71" s="48">
        <f t="shared" si="24"/>
        <v>0</v>
      </c>
      <c r="E71" s="49"/>
      <c r="F71" s="26"/>
      <c r="G71" s="50"/>
      <c r="H71" s="51"/>
      <c r="I71" s="83"/>
      <c r="J71" s="11">
        <f>[3]海景202302科目余额表!J564/10000-[3]海景202302科目余额表!J567/10000</f>
        <v>0.57674900000006346</v>
      </c>
      <c r="K71" s="11">
        <f t="shared" si="32"/>
        <v>0.57674900000006346</v>
      </c>
      <c r="Q71" s="48">
        <f>[3]海景202302科目余额表!J564/10000-[3]海景202302科目余额表!J567/10000</f>
        <v>0.57674900000006346</v>
      </c>
      <c r="R71" s="130">
        <f t="shared" si="25"/>
        <v>7.537947275186635E-2</v>
      </c>
      <c r="S71" s="48">
        <f t="shared" si="33"/>
        <v>0.57674900000006346</v>
      </c>
      <c r="T71" s="48"/>
      <c r="U71" s="121"/>
      <c r="V71" s="122">
        <f t="shared" si="26"/>
        <v>0</v>
      </c>
      <c r="W71" s="132"/>
      <c r="X71" s="130">
        <f>Q71+'[3]2023年3月~2024年2月科目余额表'!J430/10000</f>
        <v>74.89593700000006</v>
      </c>
      <c r="Y71" s="130">
        <f t="shared" si="27"/>
        <v>9.7886883935930218</v>
      </c>
      <c r="Z71" s="130">
        <f t="shared" si="28"/>
        <v>74.89593700000006</v>
      </c>
      <c r="AA71" s="48">
        <f t="shared" si="29"/>
        <v>74.89593700000006</v>
      </c>
      <c r="AB71" s="116">
        <f t="shared" si="4"/>
        <v>0</v>
      </c>
      <c r="AC71" s="120">
        <f t="shared" si="30"/>
        <v>0</v>
      </c>
      <c r="AD71" s="144"/>
      <c r="AE71" s="145"/>
      <c r="AF71" s="145">
        <f t="shared" si="21"/>
        <v>74.319187999999997</v>
      </c>
      <c r="AG71" s="145">
        <f t="shared" si="31"/>
        <v>74.319187999999997</v>
      </c>
    </row>
    <row r="72" spans="1:33" outlineLevel="1" x14ac:dyDescent="0.15">
      <c r="A72" s="47">
        <v>3.4</v>
      </c>
      <c r="B72" s="7" t="s">
        <v>142</v>
      </c>
      <c r="C72" s="48">
        <v>1153</v>
      </c>
      <c r="D72" s="48">
        <f t="shared" si="24"/>
        <v>150.693858303859</v>
      </c>
      <c r="E72" s="49"/>
      <c r="F72" s="26"/>
      <c r="G72" s="50"/>
      <c r="H72" s="51"/>
      <c r="I72" s="83"/>
      <c r="Q72" s="48"/>
      <c r="R72" s="130">
        <f t="shared" si="25"/>
        <v>0</v>
      </c>
      <c r="S72" s="48"/>
      <c r="T72" s="48"/>
      <c r="U72" s="121"/>
      <c r="V72" s="122">
        <f t="shared" si="26"/>
        <v>0</v>
      </c>
      <c r="W72" s="132"/>
      <c r="X72" s="130"/>
      <c r="Y72" s="130">
        <f t="shared" si="27"/>
        <v>0</v>
      </c>
      <c r="Z72" s="130"/>
      <c r="AA72" s="48">
        <f t="shared" si="29"/>
        <v>0</v>
      </c>
      <c r="AB72" s="116">
        <f t="shared" si="4"/>
        <v>0</v>
      </c>
      <c r="AC72" s="120">
        <f t="shared" si="30"/>
        <v>0</v>
      </c>
      <c r="AD72" s="144"/>
      <c r="AE72" s="145"/>
      <c r="AF72" s="145">
        <f t="shared" si="21"/>
        <v>0</v>
      </c>
      <c r="AG72" s="145">
        <f t="shared" si="31"/>
        <v>0</v>
      </c>
    </row>
    <row r="73" spans="1:33" s="3" customFormat="1" x14ac:dyDescent="0.15">
      <c r="A73" s="54" t="s">
        <v>623</v>
      </c>
      <c r="B73" s="153" t="s">
        <v>398</v>
      </c>
      <c r="C73" s="56">
        <f>C74+C75+C76</f>
        <v>7192</v>
      </c>
      <c r="D73" s="56">
        <f t="shared" si="24"/>
        <v>939.97417946344603</v>
      </c>
      <c r="E73" s="58"/>
      <c r="F73" s="59"/>
      <c r="G73" s="60"/>
      <c r="H73" s="61"/>
      <c r="I73" s="84"/>
      <c r="J73" s="56">
        <f>J74</f>
        <v>14.162689000000002</v>
      </c>
      <c r="K73" s="56">
        <f t="shared" ref="K73:K78" si="34">J73</f>
        <v>14.162689000000002</v>
      </c>
      <c r="L73" s="56"/>
      <c r="M73" s="56"/>
      <c r="N73" s="56"/>
      <c r="O73" s="56"/>
      <c r="P73" s="85"/>
      <c r="Q73" s="56">
        <f>Q74</f>
        <v>14.162689000000002</v>
      </c>
      <c r="R73" s="181">
        <f t="shared" si="25"/>
        <v>1.8510236334498023</v>
      </c>
      <c r="S73" s="56">
        <f t="shared" ref="S73:S78" si="35">Q73</f>
        <v>14.162689000000002</v>
      </c>
      <c r="T73" s="56"/>
      <c r="U73" s="125">
        <f>SUM(U74:U76)</f>
        <v>471.49684199081298</v>
      </c>
      <c r="V73" s="126">
        <f t="shared" si="26"/>
        <v>61.623311619844301</v>
      </c>
      <c r="W73" s="187"/>
      <c r="X73" s="56">
        <f>X74</f>
        <v>22.653831000000004</v>
      </c>
      <c r="Y73" s="181">
        <f t="shared" si="27"/>
        <v>2.9607920197342299</v>
      </c>
      <c r="Z73" s="56">
        <f t="shared" ref="Z73:Z78" si="36">X73</f>
        <v>22.653831000000004</v>
      </c>
      <c r="AA73" s="56">
        <f t="shared" si="29"/>
        <v>22.653831000000004</v>
      </c>
      <c r="AB73" s="116">
        <f t="shared" si="4"/>
        <v>471.49684199081298</v>
      </c>
      <c r="AC73" s="124">
        <f t="shared" si="30"/>
        <v>61.623311619844301</v>
      </c>
      <c r="AD73" s="146"/>
      <c r="AE73" s="147"/>
      <c r="AF73" s="147">
        <f t="shared" si="21"/>
        <v>8.4911420000000017</v>
      </c>
      <c r="AG73" s="147">
        <f t="shared" si="31"/>
        <v>8.4911420000000017</v>
      </c>
    </row>
    <row r="74" spans="1:33" outlineLevel="1" x14ac:dyDescent="0.15">
      <c r="A74" s="47">
        <v>1</v>
      </c>
      <c r="B74" s="7" t="s">
        <v>143</v>
      </c>
      <c r="C74" s="48">
        <v>2458</v>
      </c>
      <c r="D74" s="48">
        <f t="shared" si="24"/>
        <v>321.25368925488698</v>
      </c>
      <c r="E74" s="49"/>
      <c r="F74" s="51"/>
      <c r="G74" s="50"/>
      <c r="H74" s="51"/>
      <c r="I74" s="83"/>
      <c r="J74" s="11">
        <f>[3]海景202302科目余额表!J377/10000</f>
        <v>14.162689000000002</v>
      </c>
      <c r="K74" s="11">
        <f t="shared" si="34"/>
        <v>14.162689000000002</v>
      </c>
      <c r="Q74" s="48">
        <f>[3]海景202302科目余额表!J377/10000</f>
        <v>14.162689000000002</v>
      </c>
      <c r="R74" s="130">
        <f t="shared" si="25"/>
        <v>1.8510236334498023</v>
      </c>
      <c r="S74" s="48">
        <f t="shared" si="35"/>
        <v>14.162689000000002</v>
      </c>
      <c r="T74" s="48"/>
      <c r="U74" s="121">
        <v>471.49684199081298</v>
      </c>
      <c r="V74" s="122">
        <f t="shared" si="26"/>
        <v>61.623311619844301</v>
      </c>
      <c r="W74" s="123">
        <f t="shared" ref="W74:W76" si="37">W169</f>
        <v>0</v>
      </c>
      <c r="X74" s="130">
        <f>Q74+'[3]2023年3月~2024年2月科目余额表'!J319/10000</f>
        <v>22.653831000000004</v>
      </c>
      <c r="Y74" s="130">
        <f t="shared" si="27"/>
        <v>2.9607920197342299</v>
      </c>
      <c r="Z74" s="130">
        <f t="shared" si="36"/>
        <v>22.653831000000004</v>
      </c>
      <c r="AA74" s="48">
        <f t="shared" si="29"/>
        <v>22.653831000000004</v>
      </c>
      <c r="AB74" s="116">
        <f t="shared" si="4"/>
        <v>471.49684199081298</v>
      </c>
      <c r="AC74" s="120">
        <f t="shared" si="30"/>
        <v>61.623311619844301</v>
      </c>
      <c r="AD74" s="144"/>
      <c r="AE74" s="145"/>
      <c r="AF74" s="145">
        <f t="shared" si="21"/>
        <v>8.4911420000000017</v>
      </c>
      <c r="AG74" s="145">
        <f t="shared" si="31"/>
        <v>8.4911420000000017</v>
      </c>
    </row>
    <row r="75" spans="1:33" outlineLevel="1" x14ac:dyDescent="0.15">
      <c r="A75" s="47">
        <v>2</v>
      </c>
      <c r="B75" s="7" t="s">
        <v>144</v>
      </c>
      <c r="C75" s="48">
        <v>2651</v>
      </c>
      <c r="D75" s="48">
        <f t="shared" si="24"/>
        <v>346.47824662925399</v>
      </c>
      <c r="E75" s="49"/>
      <c r="F75" s="51"/>
      <c r="G75" s="50"/>
      <c r="H75" s="51"/>
      <c r="I75" s="83"/>
      <c r="Q75" s="48"/>
      <c r="R75" s="130">
        <f t="shared" si="25"/>
        <v>0</v>
      </c>
      <c r="S75" s="48">
        <f t="shared" si="35"/>
        <v>0</v>
      </c>
      <c r="T75" s="48"/>
      <c r="U75" s="121">
        <v>0</v>
      </c>
      <c r="V75" s="122">
        <f t="shared" si="26"/>
        <v>0</v>
      </c>
      <c r="W75" s="123">
        <f t="shared" si="37"/>
        <v>0</v>
      </c>
      <c r="X75" s="130"/>
      <c r="Y75" s="130">
        <f t="shared" si="27"/>
        <v>0</v>
      </c>
      <c r="Z75" s="130">
        <f t="shared" si="36"/>
        <v>0</v>
      </c>
      <c r="AA75" s="48">
        <f t="shared" si="29"/>
        <v>0</v>
      </c>
      <c r="AB75" s="116">
        <f t="shared" si="4"/>
        <v>0</v>
      </c>
      <c r="AC75" s="120">
        <f t="shared" si="30"/>
        <v>0</v>
      </c>
      <c r="AD75" s="144"/>
      <c r="AE75" s="145"/>
      <c r="AF75" s="145">
        <f t="shared" si="21"/>
        <v>0</v>
      </c>
      <c r="AG75" s="145">
        <f t="shared" si="31"/>
        <v>0</v>
      </c>
    </row>
    <row r="76" spans="1:33" outlineLevel="1" x14ac:dyDescent="0.15">
      <c r="A76" s="47">
        <v>3</v>
      </c>
      <c r="B76" s="7" t="s">
        <v>145</v>
      </c>
      <c r="C76" s="48">
        <v>2083</v>
      </c>
      <c r="D76" s="48">
        <f t="shared" si="24"/>
        <v>272.24224357930501</v>
      </c>
      <c r="E76" s="49"/>
      <c r="F76" s="51"/>
      <c r="G76" s="50"/>
      <c r="H76" s="51"/>
      <c r="I76" s="83"/>
      <c r="Q76" s="48"/>
      <c r="R76" s="130">
        <f t="shared" si="25"/>
        <v>0</v>
      </c>
      <c r="S76" s="48">
        <f t="shared" si="35"/>
        <v>0</v>
      </c>
      <c r="T76" s="48"/>
      <c r="U76" s="121">
        <v>0</v>
      </c>
      <c r="V76" s="122">
        <f t="shared" si="26"/>
        <v>0</v>
      </c>
      <c r="W76" s="123">
        <f t="shared" si="37"/>
        <v>0</v>
      </c>
      <c r="X76" s="120"/>
      <c r="Y76" s="120">
        <f t="shared" si="27"/>
        <v>0</v>
      </c>
      <c r="Z76" s="120">
        <f t="shared" si="36"/>
        <v>0</v>
      </c>
      <c r="AA76" s="48">
        <f t="shared" si="29"/>
        <v>0</v>
      </c>
      <c r="AB76" s="116">
        <f t="shared" si="4"/>
        <v>0</v>
      </c>
      <c r="AC76" s="120">
        <f t="shared" si="30"/>
        <v>0</v>
      </c>
      <c r="AD76" s="144"/>
      <c r="AE76" s="145"/>
      <c r="AF76" s="145">
        <f t="shared" si="21"/>
        <v>0</v>
      </c>
      <c r="AG76" s="145">
        <f t="shared" si="31"/>
        <v>0</v>
      </c>
    </row>
    <row r="77" spans="1:33" x14ac:dyDescent="0.15">
      <c r="A77" s="47" t="s">
        <v>624</v>
      </c>
      <c r="B77" s="7" t="s">
        <v>101</v>
      </c>
      <c r="C77" s="48"/>
      <c r="D77" s="48"/>
      <c r="E77" s="49"/>
      <c r="F77" s="51"/>
      <c r="G77" s="50"/>
      <c r="H77" s="51"/>
      <c r="I77" s="83"/>
      <c r="J77" s="11">
        <f>-([3]海景202302科目余额表!J372+[3]海景202302科目余额表!J375)/10000</f>
        <v>-1.6560139999999999</v>
      </c>
      <c r="K77" s="11">
        <f t="shared" si="34"/>
        <v>-1.6560139999999999</v>
      </c>
      <c r="Q77" s="48">
        <f>-([3]海景202302科目余额表!J372+[3]海景202302科目余额表!J375)/10000</f>
        <v>-1.6560139999999999</v>
      </c>
      <c r="R77" s="130">
        <f t="shared" si="25"/>
        <v>-0.21643637386401268</v>
      </c>
      <c r="S77" s="48">
        <f t="shared" si="35"/>
        <v>-1.6560139999999999</v>
      </c>
      <c r="T77" s="48"/>
      <c r="U77" s="121"/>
      <c r="V77" s="122"/>
      <c r="W77" s="123"/>
      <c r="X77" s="120">
        <f>Q77-('[3]2023年3月~2024年2月科目余额表'!J314+'[3]2023年3月~2024年2月科目余额表'!J317)/10000</f>
        <v>-2.1332</v>
      </c>
      <c r="Y77" s="120">
        <f t="shared" si="27"/>
        <v>-0.27880324244040927</v>
      </c>
      <c r="Z77" s="120">
        <f t="shared" si="36"/>
        <v>-2.1332</v>
      </c>
      <c r="AA77" s="48">
        <f t="shared" si="29"/>
        <v>-2.1332</v>
      </c>
      <c r="AB77" s="116">
        <f t="shared" si="4"/>
        <v>0</v>
      </c>
      <c r="AC77" s="120">
        <f t="shared" si="30"/>
        <v>0</v>
      </c>
      <c r="AD77" s="144"/>
      <c r="AE77" s="145"/>
      <c r="AF77" s="145">
        <f t="shared" si="21"/>
        <v>-0.47718600000000011</v>
      </c>
      <c r="AG77" s="145">
        <f t="shared" si="31"/>
        <v>-0.47718600000000011</v>
      </c>
    </row>
    <row r="78" spans="1:33" x14ac:dyDescent="0.15">
      <c r="A78" s="47" t="s">
        <v>625</v>
      </c>
      <c r="B78" s="7" t="s">
        <v>626</v>
      </c>
      <c r="C78" s="48"/>
      <c r="D78" s="48"/>
      <c r="E78" s="49"/>
      <c r="F78" s="51"/>
      <c r="G78" s="50"/>
      <c r="H78" s="51"/>
      <c r="I78" s="83"/>
      <c r="J78" s="11">
        <f>-([3]海景202302科目余额表!I279+[3]海景202302科目余额表!I280)/10000</f>
        <v>601.83976499999994</v>
      </c>
      <c r="K78" s="11">
        <f t="shared" si="34"/>
        <v>601.83976499999994</v>
      </c>
      <c r="Q78" s="48">
        <f>K78</f>
        <v>601.83976499999994</v>
      </c>
      <c r="R78" s="130">
        <f t="shared" si="25"/>
        <v>78.658765193874885</v>
      </c>
      <c r="S78" s="48">
        <f t="shared" si="35"/>
        <v>601.83976499999994</v>
      </c>
      <c r="T78" s="48"/>
      <c r="U78" s="121"/>
      <c r="V78" s="122"/>
      <c r="W78" s="123"/>
      <c r="X78" s="120">
        <f>Q78</f>
        <v>601.83976499999994</v>
      </c>
      <c r="Y78" s="120">
        <f t="shared" si="27"/>
        <v>78.658765193874885</v>
      </c>
      <c r="Z78" s="120">
        <f t="shared" si="36"/>
        <v>601.83976499999994</v>
      </c>
      <c r="AA78" s="48">
        <f t="shared" si="29"/>
        <v>601.83976499999994</v>
      </c>
      <c r="AB78" s="116">
        <f t="shared" si="4"/>
        <v>0</v>
      </c>
      <c r="AC78" s="120">
        <f t="shared" si="30"/>
        <v>0</v>
      </c>
      <c r="AD78" s="144"/>
      <c r="AE78" s="145"/>
      <c r="AF78" s="145">
        <f t="shared" si="21"/>
        <v>0</v>
      </c>
      <c r="AG78" s="145">
        <f t="shared" si="31"/>
        <v>0</v>
      </c>
    </row>
    <row r="79" spans="1:33" s="1" customFormat="1" ht="22.15" customHeight="1" x14ac:dyDescent="0.15">
      <c r="A79" s="64" t="s">
        <v>83</v>
      </c>
      <c r="B79" s="154" t="s">
        <v>146</v>
      </c>
      <c r="C79" s="53">
        <v>6249</v>
      </c>
      <c r="D79" s="53">
        <f t="shared" ref="D79:D83" si="38">C79/C$26*10000</f>
        <v>816.72673073791395</v>
      </c>
      <c r="E79" s="63"/>
      <c r="F79" s="155"/>
      <c r="G79" s="156"/>
      <c r="H79" s="16"/>
      <c r="I79" s="81"/>
      <c r="J79" s="53">
        <f>J50-J56-J59-J64-J73-J77</f>
        <v>-27149.073102999999</v>
      </c>
      <c r="K79" s="53">
        <f>K50-K56-K59-K64-K73-K77</f>
        <v>-27039.481502999999</v>
      </c>
      <c r="L79" s="53"/>
      <c r="M79" s="53"/>
      <c r="N79" s="53"/>
      <c r="O79" s="53"/>
      <c r="P79" s="53"/>
      <c r="Q79" s="53">
        <f>Q50-Q56-Q59-Q64-Q73-Q77-Q78</f>
        <v>-43343.675129999996</v>
      </c>
      <c r="R79" s="116">
        <f t="shared" si="25"/>
        <v>-5664.8964773709577</v>
      </c>
      <c r="S79" s="53">
        <f>S50-S56-S59-S64-S73-S77-S78</f>
        <v>-2381.6323640000001</v>
      </c>
      <c r="T79" s="53"/>
      <c r="U79" s="117">
        <f>U50-U56-U59-U64-U73</f>
        <v>-8269.3373619908198</v>
      </c>
      <c r="V79" s="118">
        <f t="shared" ref="V79:V83" si="39">U79/$C$26*10000</f>
        <v>-1080.77914370742</v>
      </c>
      <c r="W79" s="119">
        <f>W172</f>
        <v>0</v>
      </c>
      <c r="X79" s="53">
        <f t="shared" ref="X79:AA79" si="40">X50-X56-X59-X64-X73-X78-X77</f>
        <v>-45106.53974</v>
      </c>
      <c r="Y79" s="116">
        <f t="shared" si="27"/>
        <v>-5895.297925548085</v>
      </c>
      <c r="Z79" s="53">
        <f t="shared" si="40"/>
        <v>-2382.8270157325455</v>
      </c>
      <c r="AA79" s="53">
        <f t="shared" si="40"/>
        <v>-2392.6818939999994</v>
      </c>
      <c r="AB79" s="116">
        <f t="shared" si="4"/>
        <v>-8269.3373619908198</v>
      </c>
      <c r="AC79" s="116">
        <f t="shared" si="30"/>
        <v>-1080.77914370742</v>
      </c>
      <c r="AD79" s="137"/>
      <c r="AE79" s="143"/>
      <c r="AF79" s="143">
        <f t="shared" si="21"/>
        <v>-1762.8646100000042</v>
      </c>
      <c r="AG79" s="143">
        <f t="shared" si="31"/>
        <v>-1.1946517325454806</v>
      </c>
    </row>
    <row r="80" spans="1:33" x14ac:dyDescent="0.15">
      <c r="A80" s="47" t="s">
        <v>105</v>
      </c>
      <c r="B80" s="8" t="s">
        <v>148</v>
      </c>
      <c r="C80" s="48">
        <f>C79</f>
        <v>6249</v>
      </c>
      <c r="D80" s="48">
        <f t="shared" si="38"/>
        <v>816.72673073791395</v>
      </c>
      <c r="E80" s="49"/>
      <c r="F80" s="51"/>
      <c r="G80" s="50"/>
      <c r="H80" s="51"/>
      <c r="I80" s="83"/>
      <c r="Q80" s="48">
        <f>Q81+Q82+Q83</f>
        <v>-43343.675129999996</v>
      </c>
      <c r="R80" s="48"/>
      <c r="S80" s="48"/>
      <c r="T80" s="48"/>
      <c r="U80" s="121">
        <f>U79</f>
        <v>-8269.3373619908198</v>
      </c>
      <c r="V80" s="122">
        <f t="shared" si="39"/>
        <v>-1080.77914370742</v>
      </c>
      <c r="W80" s="132"/>
      <c r="X80" s="120"/>
      <c r="Y80" s="120"/>
      <c r="Z80" s="120"/>
      <c r="AA80" s="120"/>
      <c r="AB80" s="116">
        <f t="shared" si="4"/>
        <v>-8269.3373619908198</v>
      </c>
      <c r="AC80" s="120"/>
      <c r="AD80" s="144"/>
      <c r="AE80" s="145"/>
      <c r="AF80" s="145">
        <f t="shared" si="21"/>
        <v>43343.675129999996</v>
      </c>
      <c r="AG80" s="145">
        <f t="shared" si="31"/>
        <v>0</v>
      </c>
    </row>
    <row r="81" spans="1:32" ht="13.5" customHeight="1" outlineLevel="2" x14ac:dyDescent="0.15">
      <c r="A81" s="47">
        <v>4.0999999999999996</v>
      </c>
      <c r="B81" s="8" t="s">
        <v>400</v>
      </c>
      <c r="C81" s="48">
        <f>C80-C82-C83</f>
        <v>0</v>
      </c>
      <c r="D81" s="48">
        <f t="shared" si="38"/>
        <v>0</v>
      </c>
      <c r="E81" s="49"/>
      <c r="F81" s="51"/>
      <c r="G81" s="50"/>
      <c r="H81" s="51"/>
      <c r="I81" s="83"/>
      <c r="Q81" s="48"/>
      <c r="R81" s="48"/>
      <c r="S81" s="48"/>
      <c r="T81" s="48"/>
      <c r="U81" s="121">
        <f>U174</f>
        <v>0</v>
      </c>
      <c r="V81" s="122">
        <f t="shared" si="39"/>
        <v>0</v>
      </c>
      <c r="W81" s="132"/>
      <c r="X81" s="120"/>
      <c r="Y81" s="120"/>
      <c r="Z81" s="120"/>
      <c r="AA81" s="120"/>
      <c r="AB81" s="120">
        <v>0</v>
      </c>
      <c r="AC81" s="120"/>
      <c r="AD81" s="144"/>
      <c r="AE81" s="9"/>
      <c r="AF81" s="9"/>
    </row>
    <row r="82" spans="1:32" ht="26.85" customHeight="1" outlineLevel="2" x14ac:dyDescent="0.15">
      <c r="A82" s="47">
        <v>4.2</v>
      </c>
      <c r="B82" s="6" t="s">
        <v>149</v>
      </c>
      <c r="C82" s="48">
        <f>C80*0.2</f>
        <v>1249.8</v>
      </c>
      <c r="D82" s="48">
        <f t="shared" si="38"/>
        <v>163.345346147583</v>
      </c>
      <c r="E82" s="49"/>
      <c r="F82" s="51"/>
      <c r="G82" s="50"/>
      <c r="H82" s="51"/>
      <c r="I82" s="83"/>
      <c r="J82" s="11">
        <f>J79</f>
        <v>-27149.073102999999</v>
      </c>
      <c r="K82" s="11">
        <f>K79</f>
        <v>-27039.481502999999</v>
      </c>
      <c r="Q82" s="48">
        <f>Q79</f>
        <v>-43343.675129999996</v>
      </c>
      <c r="R82" s="48"/>
      <c r="S82" s="48"/>
      <c r="T82" s="48"/>
      <c r="U82" s="121">
        <f>U80</f>
        <v>-8269.3373619908198</v>
      </c>
      <c r="V82" s="122">
        <f t="shared" si="39"/>
        <v>-1080.77914370742</v>
      </c>
      <c r="W82" s="132"/>
      <c r="X82" s="48"/>
      <c r="Y82" s="48"/>
      <c r="Z82" s="48"/>
      <c r="AA82" s="48"/>
      <c r="AB82" s="48">
        <f>AB80</f>
        <v>-8269.3373619908198</v>
      </c>
      <c r="AC82" s="48"/>
      <c r="AD82" s="144"/>
      <c r="AE82" s="9"/>
      <c r="AF82" s="9"/>
    </row>
    <row r="83" spans="1:32" ht="26.85" customHeight="1" outlineLevel="2" x14ac:dyDescent="0.15">
      <c r="A83" s="47">
        <v>4.3</v>
      </c>
      <c r="B83" s="6" t="s">
        <v>150</v>
      </c>
      <c r="C83" s="48">
        <f>C80*0.8</f>
        <v>4999.2</v>
      </c>
      <c r="D83" s="48">
        <f t="shared" si="38"/>
        <v>653.38138459033098</v>
      </c>
      <c r="E83" s="49"/>
      <c r="F83" s="51"/>
      <c r="G83" s="50"/>
      <c r="H83" s="51"/>
      <c r="I83" s="83"/>
      <c r="Q83" s="48"/>
      <c r="R83" s="48"/>
      <c r="S83" s="48"/>
      <c r="T83" s="48"/>
      <c r="U83" s="121"/>
      <c r="V83" s="122">
        <f t="shared" si="39"/>
        <v>0</v>
      </c>
      <c r="W83" s="132"/>
      <c r="X83" s="48"/>
      <c r="Y83" s="48"/>
      <c r="Z83" s="48"/>
      <c r="AA83" s="48"/>
      <c r="AB83" s="48"/>
      <c r="AC83" s="48"/>
      <c r="AD83" s="144"/>
      <c r="AE83" s="9"/>
      <c r="AF83" s="9"/>
    </row>
    <row r="84" spans="1:32" ht="13.5" x14ac:dyDescent="0.15">
      <c r="A84" s="157" t="s">
        <v>151</v>
      </c>
      <c r="B84" s="158"/>
      <c r="C84" s="159"/>
      <c r="D84" s="160"/>
      <c r="E84" s="161"/>
      <c r="F84" s="162"/>
      <c r="G84" s="162"/>
      <c r="H84" s="162"/>
      <c r="I84" s="162"/>
      <c r="J84" s="177"/>
      <c r="K84" s="177"/>
      <c r="L84" s="177"/>
      <c r="M84" s="177"/>
      <c r="N84" s="177"/>
      <c r="O84" s="177"/>
      <c r="P84" s="177" t="s">
        <v>627</v>
      </c>
      <c r="Q84" s="188"/>
      <c r="R84" s="188"/>
      <c r="S84" s="188">
        <f>S85+S86+S87+S88+S89-S90-S91-S92-S93-S94-S95-S98-S105-S112-S115</f>
        <v>-2381.6323640000032</v>
      </c>
      <c r="T84" s="188"/>
      <c r="U84" s="189"/>
      <c r="V84" s="190"/>
      <c r="W84" s="191"/>
      <c r="X84" s="188"/>
      <c r="Y84" s="188"/>
      <c r="Z84" s="188">
        <f>Z85+Z86+Z87+Z88+Z89-Z90-Z91-Z92-Z93-Z94-Z95-Z98-Z105-Z112-Z115</f>
        <v>-2383.667015732548</v>
      </c>
      <c r="AA84" s="188">
        <f>AA85+AA86+AA87+AA88+AA89-AA90-AA91-AA92-AA93-AA94-AA95-AA98-AA105-AA112-AA115</f>
        <v>-2393.5218939999959</v>
      </c>
      <c r="AB84" s="188"/>
      <c r="AC84" s="188"/>
      <c r="AD84" s="206"/>
      <c r="AE84" s="9"/>
      <c r="AF84" s="9"/>
    </row>
    <row r="85" spans="1:32" x14ac:dyDescent="0.15">
      <c r="A85" s="1469" t="s">
        <v>153</v>
      </c>
      <c r="B85" s="7" t="s">
        <v>152</v>
      </c>
      <c r="C85" s="48"/>
      <c r="D85" s="43">
        <f t="shared" ref="D85:D91" si="41">C85/C$26*10000</f>
        <v>0</v>
      </c>
      <c r="E85" s="163"/>
      <c r="F85" s="51"/>
      <c r="G85" s="50"/>
      <c r="H85" s="51"/>
      <c r="I85" s="83"/>
      <c r="J85" s="11">
        <f>[3]海景202302资产负债表!E7/10000</f>
        <v>646.02006600000004</v>
      </c>
      <c r="K85" s="11">
        <f t="shared" ref="K85:K94" si="42">J85</f>
        <v>646.02006600000004</v>
      </c>
      <c r="Q85" s="192">
        <f>[3]海景202302资产负债表!E7/10000</f>
        <v>646.02006600000004</v>
      </c>
      <c r="R85" s="192"/>
      <c r="S85" s="184">
        <f t="shared" ref="S85:S94" si="43">Q85</f>
        <v>646.02006600000004</v>
      </c>
      <c r="T85" s="184"/>
      <c r="U85" s="173"/>
      <c r="V85"/>
      <c r="W85" s="132"/>
      <c r="X85" s="120">
        <f>Q85+('[3]2023年3月~2024年2月科目余额表'!J5-'[3]2023年3月~2024年2月科目余额表'!K5)/10000</f>
        <v>144.47045500000013</v>
      </c>
      <c r="Y85" s="120"/>
      <c r="Z85" s="120">
        <f t="shared" ref="Z85:Z115" si="44">X85</f>
        <v>144.47045500000013</v>
      </c>
      <c r="AA85" s="120">
        <f t="shared" ref="AA85:AA89" si="45">Z85</f>
        <v>144.47045500000013</v>
      </c>
      <c r="AB85" s="120"/>
      <c r="AC85" s="120"/>
      <c r="AD85" s="144"/>
      <c r="AE85" s="9"/>
      <c r="AF85" s="9"/>
    </row>
    <row r="86" spans="1:32" x14ac:dyDescent="0.15">
      <c r="A86" s="1469"/>
      <c r="B86" s="7" t="s">
        <v>154</v>
      </c>
      <c r="C86" s="48"/>
      <c r="D86" s="43">
        <f t="shared" si="41"/>
        <v>0</v>
      </c>
      <c r="E86" s="163"/>
      <c r="F86" s="51"/>
      <c r="G86" s="50"/>
      <c r="H86" s="51"/>
      <c r="I86" s="83"/>
      <c r="J86" s="11">
        <f>[3]海景202302资产负债表!E34/10000</f>
        <v>99.693744999999993</v>
      </c>
      <c r="K86" s="11">
        <f t="shared" si="42"/>
        <v>99.693744999999993</v>
      </c>
      <c r="Q86" s="192">
        <f>[3]海景202302资产负债表!E34/10000</f>
        <v>99.693744999999993</v>
      </c>
      <c r="R86" s="192"/>
      <c r="S86" s="184">
        <f t="shared" si="43"/>
        <v>99.693744999999993</v>
      </c>
      <c r="T86" s="184"/>
      <c r="U86" s="173"/>
      <c r="V86"/>
      <c r="W86" s="132"/>
      <c r="X86" s="120">
        <f>Q86+('[3]2023年3月~2024年2月科目余额表'!J94-'[3]2023年3月~2024年2月科目余额表'!K98)/10000</f>
        <v>65.650266999999985</v>
      </c>
      <c r="Y86" s="120"/>
      <c r="Z86" s="120">
        <f t="shared" si="44"/>
        <v>65.650266999999985</v>
      </c>
      <c r="AA86" s="120">
        <f t="shared" si="45"/>
        <v>65.650266999999985</v>
      </c>
      <c r="AB86" s="120"/>
      <c r="AC86" s="120"/>
      <c r="AD86" s="144"/>
      <c r="AE86" s="9"/>
      <c r="AF86" s="9"/>
    </row>
    <row r="87" spans="1:32" x14ac:dyDescent="0.15">
      <c r="A87" s="1469"/>
      <c r="B87" s="7" t="s">
        <v>155</v>
      </c>
      <c r="C87" s="48"/>
      <c r="D87" s="43">
        <f t="shared" si="41"/>
        <v>0</v>
      </c>
      <c r="E87" s="163"/>
      <c r="F87" s="51"/>
      <c r="G87" s="50"/>
      <c r="H87" s="51"/>
      <c r="I87" s="83"/>
      <c r="J87" s="11">
        <f>[3]海景202302资产负债表!E15/10000</f>
        <v>25259.688903999999</v>
      </c>
      <c r="K87" s="11">
        <f t="shared" si="42"/>
        <v>25259.688903999999</v>
      </c>
      <c r="P87" s="11">
        <f>-(P89+P100+P108)</f>
        <v>15702</v>
      </c>
      <c r="Q87" s="192">
        <f>[3]海景202302资产负债表!E15/10000-S234+Q61-S232</f>
        <v>40962.042765999999</v>
      </c>
      <c r="R87" s="192"/>
      <c r="S87" s="184">
        <f t="shared" si="43"/>
        <v>40962.042765999999</v>
      </c>
      <c r="T87" s="184"/>
      <c r="U87" s="173"/>
      <c r="V87"/>
      <c r="W87" s="132"/>
      <c r="X87" s="120">
        <f>Q87+'[3]2023年3月~2024年2月科目余额表'!J253/10000</f>
        <v>42848.857845999999</v>
      </c>
      <c r="Y87" s="120"/>
      <c r="Z87" s="120">
        <f>X87-Z56-Z59</f>
        <v>42723.712724267447</v>
      </c>
      <c r="AA87" s="120">
        <f>Z87+Z56+Z59</f>
        <v>42848.857845999999</v>
      </c>
      <c r="AB87" s="120"/>
      <c r="AC87" s="120"/>
      <c r="AD87" s="144"/>
      <c r="AE87" s="9"/>
      <c r="AF87" s="9"/>
    </row>
    <row r="88" spans="1:32" x14ac:dyDescent="0.15">
      <c r="A88" s="1469"/>
      <c r="B88" s="7" t="s">
        <v>156</v>
      </c>
      <c r="C88" s="48"/>
      <c r="D88" s="43">
        <f t="shared" si="41"/>
        <v>0</v>
      </c>
      <c r="E88" s="163"/>
      <c r="F88" s="51"/>
      <c r="G88" s="50"/>
      <c r="H88" s="51"/>
      <c r="I88" s="83"/>
      <c r="J88" s="11">
        <f>[3]海景202302资产负债表!E41/10000</f>
        <v>0</v>
      </c>
      <c r="K88" s="11">
        <f t="shared" si="42"/>
        <v>0</v>
      </c>
      <c r="Q88" s="192">
        <f>[3]海景202302资产负债表!E41/10000</f>
        <v>0</v>
      </c>
      <c r="R88" s="192"/>
      <c r="S88" s="184">
        <f t="shared" si="43"/>
        <v>0</v>
      </c>
      <c r="T88" s="184"/>
      <c r="U88" s="173"/>
      <c r="V88"/>
      <c r="W88" s="132"/>
      <c r="X88" s="120">
        <f>Q88+('[3]2023年3月~2024年2月科目余额表'!J103-'[3]2023年3月~2024年2月科目余额表'!K103)/10000</f>
        <v>411.66666000000004</v>
      </c>
      <c r="Y88" s="120"/>
      <c r="Z88" s="120">
        <f t="shared" si="44"/>
        <v>411.66666000000004</v>
      </c>
      <c r="AA88" s="120">
        <f t="shared" si="45"/>
        <v>411.66666000000004</v>
      </c>
      <c r="AB88" s="120"/>
      <c r="AC88" s="120"/>
      <c r="AD88" s="144"/>
      <c r="AE88" s="9"/>
      <c r="AF88" s="9"/>
    </row>
    <row r="89" spans="1:32" x14ac:dyDescent="0.15">
      <c r="A89" s="1469" t="s">
        <v>157</v>
      </c>
      <c r="B89" s="7" t="s">
        <v>159</v>
      </c>
      <c r="C89" s="48"/>
      <c r="D89" s="43">
        <f t="shared" si="41"/>
        <v>0</v>
      </c>
      <c r="E89" s="163"/>
      <c r="F89" s="51"/>
      <c r="G89" s="50"/>
      <c r="H89" s="51"/>
      <c r="I89" s="83"/>
      <c r="J89" s="11">
        <f>[3]海景202302资产负债表!E13/10000</f>
        <v>10477.236656999999</v>
      </c>
      <c r="K89" s="11">
        <f t="shared" si="42"/>
        <v>10477.236656999999</v>
      </c>
      <c r="P89" s="11">
        <f>-[3]海景202302科目余额表!N45/10000</f>
        <v>-12000</v>
      </c>
      <c r="Q89" s="192">
        <f>[3]海景202302资产负债表!E13/10000-[3]海景202302科目余额表!N45/10000</f>
        <v>-1522.7633430000005</v>
      </c>
      <c r="R89" s="192"/>
      <c r="S89" s="184">
        <f t="shared" si="43"/>
        <v>-1522.7633430000005</v>
      </c>
      <c r="T89" s="184"/>
      <c r="U89" s="173"/>
      <c r="V89"/>
      <c r="W89" s="132"/>
      <c r="X89" s="120">
        <f>Q89+('[3]2023年3月~2024年2月科目余额表'!J21-'[3]2023年3月~2024年2月科目余额表'!K21)/10000</f>
        <v>-274.4824250000006</v>
      </c>
      <c r="Y89" s="120"/>
      <c r="Z89" s="120">
        <f t="shared" si="44"/>
        <v>-274.4824250000006</v>
      </c>
      <c r="AA89" s="120">
        <f t="shared" si="45"/>
        <v>-274.4824250000006</v>
      </c>
      <c r="AB89" s="120"/>
      <c r="AC89" s="120"/>
      <c r="AD89" s="144"/>
      <c r="AE89" s="9"/>
      <c r="AF89" s="9"/>
    </row>
    <row r="90" spans="1:32" s="5" customFormat="1" x14ac:dyDescent="0.15">
      <c r="A90" s="1513"/>
      <c r="B90" s="165" t="s">
        <v>161</v>
      </c>
      <c r="C90" s="166"/>
      <c r="D90" s="167">
        <f t="shared" si="41"/>
        <v>0</v>
      </c>
      <c r="E90" s="168"/>
      <c r="F90" s="169"/>
      <c r="G90" s="170"/>
      <c r="H90" s="169"/>
      <c r="I90" s="178"/>
      <c r="J90" s="179">
        <f>(-[3]海景202302资产负债表!J12/10000-[3]海景202302科目余额表!O258/10000)*-1</f>
        <v>11.834861999999999</v>
      </c>
      <c r="K90" s="179">
        <f t="shared" si="42"/>
        <v>11.834861999999999</v>
      </c>
      <c r="L90" s="179"/>
      <c r="M90" s="179"/>
      <c r="N90" s="179"/>
      <c r="O90" s="179"/>
      <c r="P90" s="179"/>
      <c r="Q90" s="193">
        <f>(-[3]海景202302资产负债表!J12/10000-[3]海景202302科目余额表!O258/10000)*-1</f>
        <v>11.834861999999999</v>
      </c>
      <c r="R90" s="193"/>
      <c r="S90" s="193">
        <f t="shared" si="43"/>
        <v>11.834861999999999</v>
      </c>
      <c r="T90" s="193"/>
      <c r="U90" s="194"/>
      <c r="V90" s="195"/>
      <c r="W90" s="196"/>
      <c r="X90" s="197">
        <f>Q90-(+'[3]2023年3月~2024年2月科目余额表'!J229-'[3]2023年3月~2024年2月科目余额表'!K229-'[3]2023年3月~2024年2月科目余额表'!K150)/10000-135</f>
        <v>-0.44826000000000477</v>
      </c>
      <c r="Y90" s="197"/>
      <c r="Z90" s="197">
        <f t="shared" si="44"/>
        <v>-0.44826000000000477</v>
      </c>
      <c r="AA90" s="197">
        <f>Z90+135</f>
        <v>134.55174</v>
      </c>
      <c r="AB90" s="197"/>
      <c r="AC90" s="197"/>
      <c r="AD90" s="207"/>
    </row>
    <row r="91" spans="1:32" s="5" customFormat="1" x14ac:dyDescent="0.15">
      <c r="A91" s="1513"/>
      <c r="B91" s="165" t="s">
        <v>162</v>
      </c>
      <c r="C91" s="166"/>
      <c r="D91" s="167">
        <f t="shared" si="41"/>
        <v>0</v>
      </c>
      <c r="E91" s="168"/>
      <c r="F91" s="169"/>
      <c r="G91" s="170"/>
      <c r="H91" s="169"/>
      <c r="I91" s="178"/>
      <c r="J91" s="180">
        <f>(-[3]海景202302科目余额表!O236/10000)*-1</f>
        <v>311.84555699999999</v>
      </c>
      <c r="K91" s="180">
        <f t="shared" si="42"/>
        <v>311.84555699999999</v>
      </c>
      <c r="L91" s="180"/>
      <c r="M91" s="180"/>
      <c r="N91" s="180"/>
      <c r="O91" s="180"/>
      <c r="P91" s="179"/>
      <c r="Q91" s="193">
        <f>(-[3]海景202302科目余额表!O236/10000)*-1</f>
        <v>311.84555699999999</v>
      </c>
      <c r="R91" s="193"/>
      <c r="S91" s="193">
        <f t="shared" si="43"/>
        <v>311.84555699999999</v>
      </c>
      <c r="T91" s="193"/>
      <c r="U91" s="194"/>
      <c r="V91" s="195"/>
      <c r="W91" s="196"/>
      <c r="X91" s="197">
        <f>Q91+'[3]2023年3月~2024年2月科目余额表'!K209/10000</f>
        <v>331.83295699999996</v>
      </c>
      <c r="Y91" s="197"/>
      <c r="Z91" s="197">
        <f t="shared" si="44"/>
        <v>331.83295699999996</v>
      </c>
      <c r="AA91" s="197">
        <f t="shared" ref="AA91:AA115" si="46">Z91</f>
        <v>331.83295699999996</v>
      </c>
      <c r="AB91" s="197"/>
      <c r="AC91" s="197"/>
      <c r="AD91" s="207"/>
    </row>
    <row r="92" spans="1:32" x14ac:dyDescent="0.15">
      <c r="A92" s="1469"/>
      <c r="B92" s="7" t="s">
        <v>628</v>
      </c>
      <c r="C92" s="48"/>
      <c r="D92" s="43"/>
      <c r="E92" s="163"/>
      <c r="F92" s="51"/>
      <c r="G92" s="50"/>
      <c r="H92" s="51"/>
      <c r="I92" s="83"/>
      <c r="J92" s="85">
        <f>[3]海景202302科目余额表!O261/10000</f>
        <v>-315.25170000000003</v>
      </c>
      <c r="K92" s="85">
        <f t="shared" si="42"/>
        <v>-315.25170000000003</v>
      </c>
      <c r="L92" s="85"/>
      <c r="M92" s="85"/>
      <c r="N92" s="85"/>
      <c r="O92" s="85"/>
      <c r="Q92" s="192">
        <f>[3]海景202302科目余额表!O261/10000</f>
        <v>-315.25170000000003</v>
      </c>
      <c r="R92" s="192"/>
      <c r="S92" s="184">
        <f t="shared" si="43"/>
        <v>-315.25170000000003</v>
      </c>
      <c r="T92" s="184"/>
      <c r="U92" s="173"/>
      <c r="V92"/>
      <c r="W92" s="132"/>
      <c r="X92" s="120">
        <f>Q92+'[3]2023年3月~2024年2月科目余额表'!K234/10000</f>
        <v>-314.06930000000006</v>
      </c>
      <c r="Y92" s="120"/>
      <c r="Z92" s="120">
        <f t="shared" si="44"/>
        <v>-314.06930000000006</v>
      </c>
      <c r="AA92" s="120">
        <f t="shared" si="46"/>
        <v>-314.06930000000006</v>
      </c>
      <c r="AB92" s="120"/>
      <c r="AC92" s="120"/>
      <c r="AD92" s="144"/>
      <c r="AE92" s="9"/>
      <c r="AF92" s="9"/>
    </row>
    <row r="93" spans="1:32" s="5" customFormat="1" x14ac:dyDescent="0.15">
      <c r="A93" s="1513"/>
      <c r="B93" s="165" t="s">
        <v>163</v>
      </c>
      <c r="C93" s="166"/>
      <c r="D93" s="167">
        <f t="shared" ref="D93:D99" si="47">C93/C$26*10000</f>
        <v>0</v>
      </c>
      <c r="E93" s="168"/>
      <c r="F93" s="169"/>
      <c r="G93" s="170"/>
      <c r="H93" s="169"/>
      <c r="I93" s="178"/>
      <c r="J93" s="180">
        <f>(-[3]海景202302资产负债表!J11/10000)*-1</f>
        <v>192.81938799999998</v>
      </c>
      <c r="K93" s="180">
        <f t="shared" si="42"/>
        <v>192.81938799999998</v>
      </c>
      <c r="L93" s="180"/>
      <c r="M93" s="180"/>
      <c r="N93" s="180"/>
      <c r="O93" s="180"/>
      <c r="P93" s="179"/>
      <c r="Q93" s="193">
        <f>(-[3]海景202302资产负债表!J11/10000)*-1</f>
        <v>192.81938799999998</v>
      </c>
      <c r="R93" s="193"/>
      <c r="S93" s="193">
        <f t="shared" si="43"/>
        <v>192.81938799999998</v>
      </c>
      <c r="T93" s="193"/>
      <c r="U93" s="194"/>
      <c r="V93" s="195"/>
      <c r="W93" s="196"/>
      <c r="X93" s="197">
        <f>Q93-('[3]2023年3月~2024年2月科目余额表'!J106-'[3]2023年3月~2024年2月科目余额表'!K106)/10000</f>
        <v>108.82600299999999</v>
      </c>
      <c r="Y93" s="197"/>
      <c r="Z93" s="197">
        <f t="shared" si="44"/>
        <v>108.82600299999999</v>
      </c>
      <c r="AA93" s="197">
        <f t="shared" si="46"/>
        <v>108.82600299999999</v>
      </c>
      <c r="AB93" s="197"/>
      <c r="AC93" s="197"/>
      <c r="AD93" s="207"/>
    </row>
    <row r="94" spans="1:32" s="5" customFormat="1" x14ac:dyDescent="0.15">
      <c r="A94" s="1513"/>
      <c r="B94" s="165" t="s">
        <v>164</v>
      </c>
      <c r="C94" s="166"/>
      <c r="D94" s="167">
        <f t="shared" si="47"/>
        <v>0</v>
      </c>
      <c r="E94" s="168"/>
      <c r="F94" s="169"/>
      <c r="G94" s="170"/>
      <c r="H94" s="169"/>
      <c r="I94" s="178"/>
      <c r="J94" s="180">
        <f>(-[3]海景202302资产负债表!J14/10000-[3]海景202302科目余额表!O264/10000)*-1</f>
        <v>0.73928199999999933</v>
      </c>
      <c r="K94" s="180">
        <f t="shared" si="42"/>
        <v>0.73928199999999933</v>
      </c>
      <c r="L94" s="180"/>
      <c r="M94" s="180"/>
      <c r="N94" s="180"/>
      <c r="O94" s="180"/>
      <c r="P94" s="179"/>
      <c r="Q94" s="193">
        <f>(-[3]海景202302资产负债表!J14/10000-[3]海景202302科目余额表!O264/10000)*-1</f>
        <v>0.73928199999999933</v>
      </c>
      <c r="R94" s="193"/>
      <c r="S94" s="193">
        <f t="shared" si="43"/>
        <v>0.73928199999999933</v>
      </c>
      <c r="T94" s="193"/>
      <c r="U94" s="194"/>
      <c r="V94" s="195"/>
      <c r="W94" s="196"/>
      <c r="X94" s="197">
        <f>Q94-('[3]2023年3月~2024年2月科目余额表'!J155-'[3]2023年3月~2024年2月科目余额表'!K155+'[3]2023年3月~2024年2月科目余额表'!J235-'[3]2023年3月~2024年2月科目余额表'!K235)/10000</f>
        <v>5.8472779999999895</v>
      </c>
      <c r="Y94" s="197"/>
      <c r="Z94" s="197">
        <f t="shared" si="44"/>
        <v>5.8472779999999895</v>
      </c>
      <c r="AA94" s="197">
        <f t="shared" si="46"/>
        <v>5.8472779999999895</v>
      </c>
      <c r="AB94" s="197"/>
      <c r="AC94" s="197"/>
      <c r="AD94" s="207"/>
    </row>
    <row r="95" spans="1:32" x14ac:dyDescent="0.15">
      <c r="A95" s="1469"/>
      <c r="B95" s="7" t="s">
        <v>165</v>
      </c>
      <c r="C95" s="48"/>
      <c r="D95" s="43">
        <f t="shared" si="47"/>
        <v>0</v>
      </c>
      <c r="E95" s="49"/>
      <c r="F95" s="51"/>
      <c r="G95" s="50"/>
      <c r="H95" s="51"/>
      <c r="I95" s="83"/>
      <c r="J95" s="181">
        <f>J96-J97</f>
        <v>3.46</v>
      </c>
      <c r="K95" s="181">
        <f>K96-K97</f>
        <v>3.46</v>
      </c>
      <c r="L95" s="181"/>
      <c r="M95" s="181"/>
      <c r="N95" s="181"/>
      <c r="O95" s="181"/>
      <c r="Q95" s="192">
        <f t="shared" ref="Q95:S95" si="48">Q96-Q97</f>
        <v>3.46</v>
      </c>
      <c r="R95" s="192">
        <f t="shared" si="48"/>
        <v>0</v>
      </c>
      <c r="S95" s="184">
        <f t="shared" si="48"/>
        <v>3.46</v>
      </c>
      <c r="T95" s="184"/>
      <c r="U95" s="173"/>
      <c r="V95"/>
      <c r="W95" s="132"/>
      <c r="X95" s="192">
        <f>+X96+X97</f>
        <v>11.42</v>
      </c>
      <c r="Y95" s="192"/>
      <c r="Z95" s="192">
        <f t="shared" si="44"/>
        <v>11.42</v>
      </c>
      <c r="AA95" s="120">
        <f t="shared" si="46"/>
        <v>11.42</v>
      </c>
      <c r="AB95" s="192"/>
      <c r="AC95" s="192"/>
      <c r="AD95" s="144"/>
      <c r="AE95" s="9"/>
      <c r="AF95" s="9"/>
    </row>
    <row r="96" spans="1:32" x14ac:dyDescent="0.15">
      <c r="A96" s="1469"/>
      <c r="B96" s="7" t="s">
        <v>166</v>
      </c>
      <c r="C96" s="48"/>
      <c r="D96" s="43">
        <f t="shared" si="47"/>
        <v>0</v>
      </c>
      <c r="E96" s="49"/>
      <c r="F96" s="51"/>
      <c r="G96" s="50"/>
      <c r="H96" s="51"/>
      <c r="I96" s="83"/>
      <c r="J96" s="85">
        <f>[3]海景202302科目余额表!O250/10000</f>
        <v>4</v>
      </c>
      <c r="K96" s="85">
        <f>J96</f>
        <v>4</v>
      </c>
      <c r="L96" s="85"/>
      <c r="M96" s="85"/>
      <c r="N96" s="85"/>
      <c r="O96" s="85"/>
      <c r="Q96" s="130">
        <f>[3]海景202302科目余额表!O250/10000</f>
        <v>4</v>
      </c>
      <c r="R96" s="130"/>
      <c r="S96" s="130">
        <f t="shared" ref="S96:S115" si="49">Q96</f>
        <v>4</v>
      </c>
      <c r="T96" s="130"/>
      <c r="U96" s="173"/>
      <c r="V96"/>
      <c r="W96" s="132"/>
      <c r="X96" s="120">
        <f>Q96-('[3]2023年3月~2024年2月科目余额表'!J223-'[3]2023年3月~2024年2月科目余额表'!K223)/10000</f>
        <v>11</v>
      </c>
      <c r="Y96" s="120"/>
      <c r="Z96" s="120">
        <f t="shared" si="44"/>
        <v>11</v>
      </c>
      <c r="AA96" s="120">
        <f t="shared" si="46"/>
        <v>11</v>
      </c>
      <c r="AB96" s="120"/>
      <c r="AC96" s="120"/>
      <c r="AD96" s="144"/>
      <c r="AE96" s="9"/>
      <c r="AF96" s="9"/>
    </row>
    <row r="97" spans="1:32" x14ac:dyDescent="0.15">
      <c r="A97" s="1469"/>
      <c r="B97" s="7" t="s">
        <v>167</v>
      </c>
      <c r="C97" s="48"/>
      <c r="D97" s="43">
        <f t="shared" si="47"/>
        <v>0</v>
      </c>
      <c r="E97" s="49"/>
      <c r="F97" s="51"/>
      <c r="G97" s="50"/>
      <c r="H97" s="51"/>
      <c r="I97" s="83"/>
      <c r="J97" s="85">
        <f>[3]海景202302科目余额表!N85/10000</f>
        <v>0.54</v>
      </c>
      <c r="K97" s="85">
        <f>J97</f>
        <v>0.54</v>
      </c>
      <c r="L97" s="85"/>
      <c r="M97" s="85"/>
      <c r="N97" s="85"/>
      <c r="O97" s="85"/>
      <c r="Q97" s="130">
        <f>[3]海景202302科目余额表!N85/10000</f>
        <v>0.54</v>
      </c>
      <c r="R97" s="130"/>
      <c r="S97" s="130">
        <f t="shared" si="49"/>
        <v>0.54</v>
      </c>
      <c r="T97" s="130"/>
      <c r="U97" s="173"/>
      <c r="V97"/>
      <c r="W97" s="132"/>
      <c r="X97" s="120">
        <f>Q97-'[3]2023年3月~2024年2月科目余额表'!K72/10000</f>
        <v>0.42000000000000004</v>
      </c>
      <c r="Y97" s="120"/>
      <c r="Z97" s="120">
        <f t="shared" si="44"/>
        <v>0.42000000000000004</v>
      </c>
      <c r="AA97" s="120">
        <f t="shared" si="46"/>
        <v>0.42000000000000004</v>
      </c>
      <c r="AB97" s="120"/>
      <c r="AC97" s="120"/>
      <c r="AD97" s="144"/>
      <c r="AE97" s="9"/>
      <c r="AF97" s="9"/>
    </row>
    <row r="98" spans="1:32" x14ac:dyDescent="0.15">
      <c r="A98" s="1469" t="s">
        <v>405</v>
      </c>
      <c r="B98" s="7" t="s">
        <v>629</v>
      </c>
      <c r="C98" s="48"/>
      <c r="D98" s="43">
        <f t="shared" si="47"/>
        <v>0</v>
      </c>
      <c r="E98" s="49"/>
      <c r="F98" s="51"/>
      <c r="G98" s="50"/>
      <c r="H98" s="51"/>
      <c r="I98" s="83"/>
      <c r="J98" s="181">
        <f>(J99-J102)</f>
        <v>-611.68013600000143</v>
      </c>
      <c r="K98" s="181">
        <f>(K99-K102)</f>
        <v>-709.44532900000127</v>
      </c>
      <c r="L98" s="181"/>
      <c r="M98" s="181"/>
      <c r="N98" s="181"/>
      <c r="O98" s="181"/>
      <c r="Q98" s="192">
        <f>(Q99-Q102)</f>
        <v>1986.0850569999986</v>
      </c>
      <c r="R98" s="192"/>
      <c r="S98" s="184">
        <f t="shared" si="49"/>
        <v>1986.0850569999986</v>
      </c>
      <c r="T98" s="184"/>
      <c r="U98" s="173"/>
      <c r="V98"/>
      <c r="W98" s="132"/>
      <c r="X98" s="192">
        <f>(X99-X102)</f>
        <v>6748.8429649999998</v>
      </c>
      <c r="Y98" s="192"/>
      <c r="Z98" s="192">
        <f t="shared" si="44"/>
        <v>6748.8429649999998</v>
      </c>
      <c r="AA98" s="120">
        <f t="shared" si="46"/>
        <v>6748.8429649999998</v>
      </c>
      <c r="AB98" s="192"/>
      <c r="AC98" s="192"/>
      <c r="AD98" s="144"/>
      <c r="AE98" s="9"/>
      <c r="AF98" s="9"/>
    </row>
    <row r="99" spans="1:32" x14ac:dyDescent="0.15">
      <c r="A99" s="1469"/>
      <c r="B99" s="7" t="s">
        <v>407</v>
      </c>
      <c r="C99" s="48"/>
      <c r="D99" s="43">
        <f t="shared" si="47"/>
        <v>0</v>
      </c>
      <c r="E99" s="49"/>
      <c r="F99" s="51"/>
      <c r="G99" s="50"/>
      <c r="H99" s="51"/>
      <c r="I99" s="83"/>
      <c r="J99" s="181">
        <f>+J100+J101</f>
        <v>-611.68013600000143</v>
      </c>
      <c r="K99" s="181">
        <f>+K100+K101</f>
        <v>-709.44532900000127</v>
      </c>
      <c r="L99" s="181"/>
      <c r="M99" s="181"/>
      <c r="N99" s="181"/>
      <c r="O99" s="181"/>
      <c r="Q99" s="130">
        <f>+Q100+Q101</f>
        <v>1986.0850569999986</v>
      </c>
      <c r="R99" s="130"/>
      <c r="S99" s="130">
        <f t="shared" si="49"/>
        <v>1986.0850569999986</v>
      </c>
      <c r="T99" s="130"/>
      <c r="U99" s="173"/>
      <c r="V99"/>
      <c r="W99" s="132"/>
      <c r="X99" s="130">
        <f>+X100+X101</f>
        <v>6748.8429649999998</v>
      </c>
      <c r="Y99" s="130"/>
      <c r="Z99" s="130">
        <f t="shared" si="44"/>
        <v>6748.8429649999998</v>
      </c>
      <c r="AA99" s="120">
        <f t="shared" si="46"/>
        <v>6748.8429649999998</v>
      </c>
      <c r="AB99" s="130"/>
      <c r="AC99" s="130"/>
      <c r="AD99" s="144"/>
      <c r="AE99" s="9"/>
      <c r="AF99" s="9"/>
    </row>
    <row r="100" spans="1:32" s="5" customFormat="1" ht="15.95" customHeight="1" x14ac:dyDescent="0.15">
      <c r="A100" s="1513"/>
      <c r="B100" s="165" t="s">
        <v>408</v>
      </c>
      <c r="C100" s="166"/>
      <c r="D100" s="167"/>
      <c r="E100" s="171"/>
      <c r="F100" s="169"/>
      <c r="G100" s="170"/>
      <c r="H100" s="169"/>
      <c r="I100" s="178"/>
      <c r="J100" s="180">
        <f>((-[3]海景202302科目余额表!O242-[3]海景202302科目余额表!O243)/10000)*-1</f>
        <v>-611.68013600000143</v>
      </c>
      <c r="K100" s="180">
        <f>J100-[3]聚荣投入!F96/10000</f>
        <v>-709.44532900000127</v>
      </c>
      <c r="L100" s="180"/>
      <c r="M100" s="180"/>
      <c r="N100" s="180"/>
      <c r="O100" s="180"/>
      <c r="P100" s="179">
        <f>-([3]聚荣投入!E23+[3]聚荣投入!E34)/10000</f>
        <v>-2500</v>
      </c>
      <c r="Q100" s="197">
        <f>((-[3]海景202302科目余额表!O242-[3]海景202302科目余额表!O243)/10000-[3]聚荣投入!E34/10000-[3]聚荣投入!F99/10000-[3]聚荣投入!F96/10000)*-1</f>
        <v>1986.0850569999986</v>
      </c>
      <c r="R100" s="197"/>
      <c r="S100" s="197">
        <f t="shared" si="49"/>
        <v>1986.0850569999986</v>
      </c>
      <c r="T100" s="197"/>
      <c r="U100" s="194"/>
      <c r="V100" s="195"/>
      <c r="W100" s="196"/>
      <c r="X100" s="197">
        <f>Q100-('[3]2023年3月~2024年2月科目余额表'!J215+'[3]2023年3月~2024年2月科目余额表'!J216-'[3]2023年3月~2024年2月科目余额表'!K215-'[3]2023年3月~2024年2月科目余额表'!K216-'[3]2023年3月~2024年2月科目余额表'!K217)/10000+AF232</f>
        <v>6748.8429649999998</v>
      </c>
      <c r="Y100" s="197"/>
      <c r="Z100" s="197">
        <f t="shared" si="44"/>
        <v>6748.8429649999998</v>
      </c>
      <c r="AA100" s="197">
        <f t="shared" si="46"/>
        <v>6748.8429649999998</v>
      </c>
      <c r="AB100" s="197"/>
      <c r="AC100" s="197"/>
      <c r="AD100" s="207"/>
    </row>
    <row r="101" spans="1:32" s="5" customFormat="1" ht="15.95" customHeight="1" x14ac:dyDescent="0.15">
      <c r="A101" s="1513"/>
      <c r="B101" s="165" t="s">
        <v>409</v>
      </c>
      <c r="C101" s="166"/>
      <c r="D101" s="167"/>
      <c r="E101" s="171"/>
      <c r="F101" s="169"/>
      <c r="G101" s="170"/>
      <c r="H101" s="169"/>
      <c r="I101" s="178"/>
      <c r="J101" s="180">
        <v>0</v>
      </c>
      <c r="K101" s="180"/>
      <c r="L101" s="180"/>
      <c r="M101" s="180"/>
      <c r="N101" s="180"/>
      <c r="O101" s="180"/>
      <c r="P101" s="179"/>
      <c r="Q101" s="197">
        <v>0</v>
      </c>
      <c r="R101" s="197"/>
      <c r="S101" s="197">
        <f t="shared" si="49"/>
        <v>0</v>
      </c>
      <c r="T101" s="197"/>
      <c r="U101" s="194"/>
      <c r="V101" s="195"/>
      <c r="W101" s="196"/>
      <c r="X101" s="197"/>
      <c r="Y101" s="197"/>
      <c r="Z101" s="197">
        <f t="shared" si="44"/>
        <v>0</v>
      </c>
      <c r="AA101" s="197">
        <f t="shared" si="46"/>
        <v>0</v>
      </c>
      <c r="AB101" s="197"/>
      <c r="AC101" s="197"/>
      <c r="AD101" s="207"/>
    </row>
    <row r="102" spans="1:32" ht="15.95" customHeight="1" x14ac:dyDescent="0.15">
      <c r="A102" s="1469"/>
      <c r="B102" s="7" t="s">
        <v>410</v>
      </c>
      <c r="C102" s="48"/>
      <c r="D102" s="43">
        <f t="shared" ref="D102:D106" si="50">C102/C$26*10000</f>
        <v>0</v>
      </c>
      <c r="E102" s="49"/>
      <c r="F102" s="51"/>
      <c r="G102" s="50"/>
      <c r="H102" s="51"/>
      <c r="I102" s="83"/>
      <c r="J102" s="181">
        <f>J103</f>
        <v>0</v>
      </c>
      <c r="K102" s="181"/>
      <c r="L102" s="181"/>
      <c r="M102" s="181"/>
      <c r="N102" s="181"/>
      <c r="O102" s="181"/>
      <c r="Q102" s="130">
        <f>Q103</f>
        <v>0</v>
      </c>
      <c r="R102" s="130"/>
      <c r="S102" s="130">
        <f t="shared" si="49"/>
        <v>0</v>
      </c>
      <c r="T102" s="130"/>
      <c r="U102" s="173"/>
      <c r="V102"/>
      <c r="W102" s="132"/>
      <c r="X102" s="120"/>
      <c r="Y102" s="120"/>
      <c r="Z102" s="120">
        <f t="shared" si="44"/>
        <v>0</v>
      </c>
      <c r="AA102" s="120">
        <f t="shared" si="46"/>
        <v>0</v>
      </c>
      <c r="AB102" s="120"/>
      <c r="AC102" s="120"/>
      <c r="AD102" s="144"/>
      <c r="AE102" s="9"/>
      <c r="AF102" s="9"/>
    </row>
    <row r="103" spans="1:32" x14ac:dyDescent="0.15">
      <c r="A103" s="1469"/>
      <c r="B103" s="7" t="s">
        <v>411</v>
      </c>
      <c r="C103" s="48"/>
      <c r="D103" s="43"/>
      <c r="E103" s="49"/>
      <c r="F103" s="51"/>
      <c r="G103" s="50"/>
      <c r="H103" s="51"/>
      <c r="I103" s="83"/>
      <c r="J103" s="85"/>
      <c r="K103" s="85"/>
      <c r="L103" s="85"/>
      <c r="M103" s="85"/>
      <c r="N103" s="85"/>
      <c r="O103" s="85"/>
      <c r="Q103" s="130"/>
      <c r="R103" s="130"/>
      <c r="S103" s="130">
        <f t="shared" si="49"/>
        <v>0</v>
      </c>
      <c r="T103" s="130"/>
      <c r="U103" s="173"/>
      <c r="V103"/>
      <c r="W103" s="132"/>
      <c r="X103" s="120"/>
      <c r="Y103" s="120"/>
      <c r="Z103" s="120">
        <f t="shared" si="44"/>
        <v>0</v>
      </c>
      <c r="AA103" s="120">
        <f t="shared" si="46"/>
        <v>0</v>
      </c>
      <c r="AB103" s="120"/>
      <c r="AC103" s="120"/>
      <c r="AD103" s="144"/>
      <c r="AE103" s="9"/>
      <c r="AF103" s="9"/>
    </row>
    <row r="104" spans="1:32" x14ac:dyDescent="0.15">
      <c r="A104" s="1469"/>
      <c r="B104" s="7" t="s">
        <v>412</v>
      </c>
      <c r="C104" s="48"/>
      <c r="D104" s="43"/>
      <c r="E104" s="49"/>
      <c r="F104" s="51"/>
      <c r="G104" s="50"/>
      <c r="H104" s="51"/>
      <c r="I104" s="83"/>
      <c r="J104" s="85"/>
      <c r="K104" s="85"/>
      <c r="L104" s="85"/>
      <c r="M104" s="85"/>
      <c r="N104" s="85"/>
      <c r="O104" s="85"/>
      <c r="Q104" s="130">
        <v>0</v>
      </c>
      <c r="R104" s="130"/>
      <c r="S104" s="130">
        <f t="shared" si="49"/>
        <v>0</v>
      </c>
      <c r="T104" s="130"/>
      <c r="U104" s="173"/>
      <c r="V104"/>
      <c r="W104" s="132"/>
      <c r="X104" s="120"/>
      <c r="Y104" s="120"/>
      <c r="Z104" s="120">
        <f t="shared" si="44"/>
        <v>0</v>
      </c>
      <c r="AA104" s="120">
        <f t="shared" si="46"/>
        <v>0</v>
      </c>
      <c r="AB104" s="120"/>
      <c r="AC104" s="120"/>
      <c r="AD104" s="144"/>
      <c r="AE104" s="9"/>
      <c r="AF104" s="9"/>
    </row>
    <row r="105" spans="1:32" x14ac:dyDescent="0.15">
      <c r="A105" s="1469"/>
      <c r="B105" s="7" t="s">
        <v>108</v>
      </c>
      <c r="C105" s="48"/>
      <c r="D105" s="43">
        <f t="shared" si="50"/>
        <v>0</v>
      </c>
      <c r="E105" s="49"/>
      <c r="F105" s="51"/>
      <c r="G105" s="50"/>
      <c r="H105" s="51"/>
      <c r="I105" s="83"/>
      <c r="J105" s="181">
        <f>(J106+J109)</f>
        <v>5005.002931</v>
      </c>
      <c r="K105" s="181">
        <f>(K106+K109)</f>
        <v>5212.3597239999999</v>
      </c>
      <c r="L105" s="181"/>
      <c r="M105" s="181"/>
      <c r="N105" s="181"/>
      <c r="O105" s="181"/>
      <c r="Q105" s="192">
        <f>(Q106+Q109)</f>
        <v>6000</v>
      </c>
      <c r="R105" s="192"/>
      <c r="S105" s="184">
        <f t="shared" si="49"/>
        <v>6000</v>
      </c>
      <c r="T105" s="184"/>
      <c r="U105" s="173"/>
      <c r="V105"/>
      <c r="W105" s="132"/>
      <c r="X105" s="192">
        <f>(X106-X109)</f>
        <v>5998.25738</v>
      </c>
      <c r="Y105" s="192"/>
      <c r="Z105" s="192">
        <f t="shared" si="44"/>
        <v>5998.25738</v>
      </c>
      <c r="AA105" s="120">
        <f t="shared" si="46"/>
        <v>5998.25738</v>
      </c>
      <c r="AB105" s="192"/>
      <c r="AC105" s="192"/>
      <c r="AD105" s="144"/>
      <c r="AE105" s="9"/>
      <c r="AF105" s="9"/>
    </row>
    <row r="106" spans="1:32" ht="15.4" customHeight="1" x14ac:dyDescent="0.15">
      <c r="A106" s="1469"/>
      <c r="B106" s="7" t="s">
        <v>413</v>
      </c>
      <c r="C106" s="48"/>
      <c r="D106" s="43">
        <f t="shared" si="50"/>
        <v>0</v>
      </c>
      <c r="E106" s="49"/>
      <c r="F106" s="51"/>
      <c r="G106" s="50"/>
      <c r="H106" s="51"/>
      <c r="I106" s="83"/>
      <c r="J106" s="181">
        <f>+J108+J107</f>
        <v>5005.002931</v>
      </c>
      <c r="K106" s="181">
        <f>+K108+K107</f>
        <v>5212.3597239999999</v>
      </c>
      <c r="L106" s="181"/>
      <c r="M106" s="181"/>
      <c r="N106" s="181"/>
      <c r="O106" s="181"/>
      <c r="Q106" s="130">
        <f>+Q108+Q107</f>
        <v>6000</v>
      </c>
      <c r="R106" s="130"/>
      <c r="S106" s="130">
        <f t="shared" si="49"/>
        <v>6000</v>
      </c>
      <c r="T106" s="130"/>
      <c r="U106" s="173"/>
      <c r="V106"/>
      <c r="W106" s="132"/>
      <c r="X106" s="130">
        <f>+X108+X107</f>
        <v>5998.25738</v>
      </c>
      <c r="Y106" s="130"/>
      <c r="Z106" s="130">
        <f t="shared" si="44"/>
        <v>5998.25738</v>
      </c>
      <c r="AA106" s="120">
        <f t="shared" si="46"/>
        <v>5998.25738</v>
      </c>
      <c r="AB106" s="130"/>
      <c r="AC106" s="130"/>
      <c r="AD106" s="144"/>
      <c r="AE106" s="9"/>
      <c r="AF106" s="9"/>
    </row>
    <row r="107" spans="1:32" s="5" customFormat="1" x14ac:dyDescent="0.15">
      <c r="A107" s="1513"/>
      <c r="B107" s="165" t="s">
        <v>173</v>
      </c>
      <c r="C107" s="166"/>
      <c r="D107" s="167"/>
      <c r="E107" s="171"/>
      <c r="F107" s="169"/>
      <c r="G107" s="170"/>
      <c r="H107" s="169"/>
      <c r="I107" s="178"/>
      <c r="J107" s="180">
        <f>((-[3]海景202302科目余额表!O246-[3]海景202302科目余额表!O275)/10000)*-1</f>
        <v>6000</v>
      </c>
      <c r="K107" s="180">
        <f>J107</f>
        <v>6000</v>
      </c>
      <c r="L107" s="180"/>
      <c r="M107" s="180"/>
      <c r="N107" s="180"/>
      <c r="O107" s="180"/>
      <c r="P107" s="179"/>
      <c r="Q107" s="197">
        <f>((-[3]海景202302科目余额表!O246-[3]海景202302科目余额表!O275)/10000)*-1</f>
        <v>6000</v>
      </c>
      <c r="R107" s="197"/>
      <c r="S107" s="197">
        <f t="shared" si="49"/>
        <v>6000</v>
      </c>
      <c r="T107" s="197"/>
      <c r="U107" s="194"/>
      <c r="V107" s="195"/>
      <c r="W107" s="196"/>
      <c r="X107" s="197">
        <f>Q107</f>
        <v>6000</v>
      </c>
      <c r="Y107" s="197"/>
      <c r="Z107" s="197">
        <f t="shared" si="44"/>
        <v>6000</v>
      </c>
      <c r="AA107" s="197">
        <f t="shared" si="46"/>
        <v>6000</v>
      </c>
      <c r="AB107" s="197"/>
      <c r="AC107" s="197"/>
      <c r="AD107" s="207"/>
    </row>
    <row r="108" spans="1:32" s="5" customFormat="1" x14ac:dyDescent="0.15">
      <c r="A108" s="1513"/>
      <c r="B108" s="165" t="s">
        <v>174</v>
      </c>
      <c r="C108" s="166"/>
      <c r="D108" s="167"/>
      <c r="E108" s="171"/>
      <c r="F108" s="169"/>
      <c r="G108" s="170"/>
      <c r="H108" s="169"/>
      <c r="I108" s="178"/>
      <c r="J108" s="180">
        <f>(-([3]海景202302科目余额表!O245+[3]海景202302科目余额表!O247+[3]海景202302科目余额表!O248+[3]海景202302科目余额表!O249+[3]海景202302科目余额表!O267+[3]海景202302科目余额表!O276)/10000)*-1</f>
        <v>-994.99706899999978</v>
      </c>
      <c r="K108" s="180">
        <f>J108+S233+[3]合作方收回!E25</f>
        <v>-787.64027599999974</v>
      </c>
      <c r="L108" s="180"/>
      <c r="M108" s="180"/>
      <c r="N108" s="180"/>
      <c r="O108" s="180"/>
      <c r="P108" s="179">
        <f>-P89-12000+2500-3702</f>
        <v>-1202</v>
      </c>
      <c r="Q108" s="197">
        <v>0</v>
      </c>
      <c r="R108" s="197"/>
      <c r="S108" s="197">
        <f t="shared" si="49"/>
        <v>0</v>
      </c>
      <c r="T108" s="197"/>
      <c r="U108" s="194"/>
      <c r="V108" s="195"/>
      <c r="W108" s="196"/>
      <c r="X108" s="197">
        <f>Q108-'[3]2023年3月~2024年2月科目余额表'!J218/10000+'[3]2023年3月~2024年2月科目余额表'!K222/10000-AF232</f>
        <v>-1.7426199999999881</v>
      </c>
      <c r="Y108" s="197"/>
      <c r="Z108" s="197">
        <f t="shared" si="44"/>
        <v>-1.7426199999999881</v>
      </c>
      <c r="AA108" s="197">
        <f t="shared" si="46"/>
        <v>-1.7426199999999881</v>
      </c>
      <c r="AB108" s="197"/>
      <c r="AC108" s="197"/>
      <c r="AD108" s="207"/>
    </row>
    <row r="109" spans="1:32" x14ac:dyDescent="0.15">
      <c r="A109" s="1469"/>
      <c r="B109" s="7" t="s">
        <v>414</v>
      </c>
      <c r="C109" s="48"/>
      <c r="D109" s="43">
        <f t="shared" ref="D109:D115" si="51">C109/C$26*10000</f>
        <v>0</v>
      </c>
      <c r="E109" s="49"/>
      <c r="F109" s="51"/>
      <c r="G109" s="50"/>
      <c r="H109" s="51"/>
      <c r="I109" s="83"/>
      <c r="J109" s="85">
        <f>(J111)*-1</f>
        <v>0</v>
      </c>
      <c r="K109" s="85">
        <f>K111</f>
        <v>0</v>
      </c>
      <c r="L109" s="85"/>
      <c r="M109" s="85"/>
      <c r="N109" s="85"/>
      <c r="O109" s="85"/>
      <c r="Q109" s="130">
        <f>SUM(Q110:Q111)</f>
        <v>0</v>
      </c>
      <c r="R109" s="130"/>
      <c r="S109" s="130">
        <f t="shared" si="49"/>
        <v>0</v>
      </c>
      <c r="T109" s="130"/>
      <c r="U109" s="173"/>
      <c r="V109"/>
      <c r="W109" s="132"/>
      <c r="X109" s="120"/>
      <c r="Y109" s="120"/>
      <c r="Z109" s="120">
        <f t="shared" si="44"/>
        <v>0</v>
      </c>
      <c r="AA109" s="120">
        <f t="shared" si="46"/>
        <v>0</v>
      </c>
      <c r="AB109" s="120"/>
      <c r="AC109" s="120"/>
      <c r="AD109" s="144"/>
      <c r="AE109" s="9"/>
      <c r="AF109" s="9"/>
    </row>
    <row r="110" spans="1:32" x14ac:dyDescent="0.15">
      <c r="A110" s="1469"/>
      <c r="B110" s="7" t="s">
        <v>411</v>
      </c>
      <c r="C110" s="48"/>
      <c r="D110" s="43"/>
      <c r="E110" s="49"/>
      <c r="F110" s="51"/>
      <c r="G110" s="50"/>
      <c r="H110" s="51"/>
      <c r="I110" s="83"/>
      <c r="J110" s="85">
        <v>0</v>
      </c>
      <c r="K110" s="85"/>
      <c r="L110" s="85"/>
      <c r="M110" s="85"/>
      <c r="N110" s="85"/>
      <c r="O110" s="85"/>
      <c r="Q110" s="130">
        <v>0</v>
      </c>
      <c r="R110" s="130"/>
      <c r="S110" s="130">
        <f t="shared" si="49"/>
        <v>0</v>
      </c>
      <c r="T110" s="130"/>
      <c r="U110" s="173"/>
      <c r="V110"/>
      <c r="W110" s="132"/>
      <c r="X110" s="120"/>
      <c r="Y110" s="120"/>
      <c r="Z110" s="120">
        <f t="shared" si="44"/>
        <v>0</v>
      </c>
      <c r="AA110" s="120">
        <f t="shared" si="46"/>
        <v>0</v>
      </c>
      <c r="AB110" s="120"/>
      <c r="AC110" s="120"/>
      <c r="AD110" s="144"/>
      <c r="AE110" s="9"/>
      <c r="AF110" s="9"/>
    </row>
    <row r="111" spans="1:32" x14ac:dyDescent="0.15">
      <c r="A111" s="1469"/>
      <c r="B111" s="7" t="s">
        <v>412</v>
      </c>
      <c r="C111" s="48"/>
      <c r="D111" s="43"/>
      <c r="E111" s="49"/>
      <c r="F111" s="51"/>
      <c r="G111" s="50"/>
      <c r="H111" s="51"/>
      <c r="I111" s="83"/>
      <c r="J111" s="181">
        <v>0</v>
      </c>
      <c r="K111" s="181"/>
      <c r="L111" s="181"/>
      <c r="M111" s="181"/>
      <c r="N111" s="181"/>
      <c r="O111" s="181"/>
      <c r="Q111" s="130">
        <f>-Q108</f>
        <v>0</v>
      </c>
      <c r="R111" s="130"/>
      <c r="S111" s="130">
        <f t="shared" si="49"/>
        <v>0</v>
      </c>
      <c r="T111" s="130"/>
      <c r="U111" s="173"/>
      <c r="V111"/>
      <c r="W111" s="132"/>
      <c r="X111" s="120"/>
      <c r="Y111" s="120"/>
      <c r="Z111" s="120">
        <f t="shared" si="44"/>
        <v>0</v>
      </c>
      <c r="AA111" s="120">
        <f t="shared" si="46"/>
        <v>0</v>
      </c>
      <c r="AB111" s="120"/>
      <c r="AC111" s="120"/>
      <c r="AD111" s="144"/>
      <c r="AE111" s="9"/>
      <c r="AF111" s="9"/>
    </row>
    <row r="112" spans="1:32" s="5" customFormat="1" x14ac:dyDescent="0.15">
      <c r="A112" s="1513"/>
      <c r="B112" s="165" t="s">
        <v>109</v>
      </c>
      <c r="C112" s="172"/>
      <c r="D112" s="167">
        <f t="shared" si="51"/>
        <v>0</v>
      </c>
      <c r="F112" s="169"/>
      <c r="G112" s="170"/>
      <c r="H112" s="169"/>
      <c r="I112" s="178"/>
      <c r="J112" s="182">
        <f>(-(J113-J114))*-1</f>
        <v>34400</v>
      </c>
      <c r="K112" s="182">
        <f t="shared" ref="K112:K115" si="52">J112</f>
        <v>34400</v>
      </c>
      <c r="L112" s="182"/>
      <c r="M112" s="182"/>
      <c r="N112" s="182"/>
      <c r="O112" s="182"/>
      <c r="P112" s="179"/>
      <c r="Q112" s="197">
        <f>(-(Q113-Q114))*-1</f>
        <v>34400</v>
      </c>
      <c r="R112" s="197"/>
      <c r="S112" s="197">
        <f t="shared" si="49"/>
        <v>34400</v>
      </c>
      <c r="T112" s="197"/>
      <c r="U112" s="194"/>
      <c r="V112" s="195"/>
      <c r="W112" s="196"/>
      <c r="X112" s="197">
        <f>(X113-X114)</f>
        <v>32600</v>
      </c>
      <c r="Y112" s="197"/>
      <c r="Z112" s="197">
        <f t="shared" si="44"/>
        <v>32600</v>
      </c>
      <c r="AA112" s="197">
        <f t="shared" si="46"/>
        <v>32600</v>
      </c>
      <c r="AB112" s="197"/>
      <c r="AC112" s="197"/>
      <c r="AD112" s="207"/>
    </row>
    <row r="113" spans="1:32" x14ac:dyDescent="0.15">
      <c r="A113" s="1469"/>
      <c r="B113" s="7" t="s">
        <v>110</v>
      </c>
      <c r="D113" s="43">
        <f t="shared" si="51"/>
        <v>0</v>
      </c>
      <c r="F113" s="51"/>
      <c r="G113" s="50"/>
      <c r="H113" s="51"/>
      <c r="I113" s="83"/>
      <c r="J113" s="11">
        <f>[3]海景202302科目余额表!K271/10000</f>
        <v>35000</v>
      </c>
      <c r="K113" s="11">
        <f t="shared" si="52"/>
        <v>35000</v>
      </c>
      <c r="Q113" s="130">
        <f>[3]海景202302科目余额表!K271/10000</f>
        <v>35000</v>
      </c>
      <c r="R113" s="130"/>
      <c r="S113" s="130">
        <f t="shared" si="49"/>
        <v>35000</v>
      </c>
      <c r="T113" s="130"/>
      <c r="U113" s="173"/>
      <c r="V113"/>
      <c r="W113" s="132"/>
      <c r="X113" s="120">
        <f>Q113</f>
        <v>35000</v>
      </c>
      <c r="Y113" s="120"/>
      <c r="Z113" s="120">
        <f t="shared" si="44"/>
        <v>35000</v>
      </c>
      <c r="AA113" s="120">
        <f t="shared" si="46"/>
        <v>35000</v>
      </c>
      <c r="AB113" s="120"/>
      <c r="AC113" s="120"/>
      <c r="AD113" s="144"/>
      <c r="AE113" s="9"/>
      <c r="AF113" s="9"/>
    </row>
    <row r="114" spans="1:32" x14ac:dyDescent="0.15">
      <c r="A114" s="1469"/>
      <c r="B114" s="7" t="s">
        <v>111</v>
      </c>
      <c r="D114" s="43">
        <f t="shared" si="51"/>
        <v>0</v>
      </c>
      <c r="F114" s="51"/>
      <c r="G114" s="50"/>
      <c r="H114" s="51"/>
      <c r="I114" s="83"/>
      <c r="J114" s="11">
        <f>[3]海景202302科目余额表!J269/10000</f>
        <v>600</v>
      </c>
      <c r="K114" s="11">
        <f t="shared" si="52"/>
        <v>600</v>
      </c>
      <c r="Q114" s="130">
        <f>[3]海景202302科目余额表!J269/10000</f>
        <v>600</v>
      </c>
      <c r="R114" s="130"/>
      <c r="S114" s="130">
        <f t="shared" si="49"/>
        <v>600</v>
      </c>
      <c r="T114" s="130"/>
      <c r="U114" s="173"/>
      <c r="V114"/>
      <c r="W114" s="132"/>
      <c r="X114" s="120">
        <f>Q114+'[3]2023年3月~2024年2月科目余额表'!J243/10000</f>
        <v>2400</v>
      </c>
      <c r="Y114" s="120"/>
      <c r="Z114" s="120">
        <f t="shared" si="44"/>
        <v>2400</v>
      </c>
      <c r="AA114" s="120">
        <f t="shared" si="46"/>
        <v>2400</v>
      </c>
      <c r="AB114" s="120"/>
      <c r="AC114" s="120"/>
      <c r="AD114" s="144"/>
      <c r="AE114" s="9"/>
      <c r="AF114" s="9"/>
    </row>
    <row r="115" spans="1:32" s="5" customFormat="1" x14ac:dyDescent="0.15">
      <c r="A115" s="164" t="s">
        <v>176</v>
      </c>
      <c r="B115" s="165" t="s">
        <v>177</v>
      </c>
      <c r="C115" s="166"/>
      <c r="D115" s="167">
        <f t="shared" si="51"/>
        <v>0</v>
      </c>
      <c r="E115" s="171"/>
      <c r="F115" s="169"/>
      <c r="G115" s="170"/>
      <c r="H115" s="169"/>
      <c r="I115" s="178"/>
      <c r="J115" s="179">
        <f>(([3]海景202302科目余额表!N96-[3]海景202302科目余额表!O192+[3]海景202302科目余额表!N105+[3]海景202302科目余额表!N116)/10000)*-1</f>
        <v>-24.906847999999997</v>
      </c>
      <c r="K115" s="179">
        <f t="shared" si="52"/>
        <v>-24.906847999999997</v>
      </c>
      <c r="L115" s="179"/>
      <c r="M115" s="179"/>
      <c r="N115" s="179"/>
      <c r="O115" s="179"/>
      <c r="P115" s="179"/>
      <c r="Q115" s="193">
        <f>(([3]海景202302科目余额表!N96-[3]海景202302科目余额表!O192+[3]海景202302科目余额表!N105+[3]海景202302科目余额表!N116)/10000)*-1</f>
        <v>-24.906847999999997</v>
      </c>
      <c r="R115" s="193"/>
      <c r="S115" s="193">
        <f t="shared" si="49"/>
        <v>-24.906847999999997</v>
      </c>
      <c r="T115" s="193"/>
      <c r="U115" s="194"/>
      <c r="V115" s="195"/>
      <c r="W115" s="196"/>
      <c r="X115" s="197">
        <f>Q115-('[3]2023年3月~2024年2月科目余额表'!J170-'[3]2023年3月~2024年2月科目余额表'!K170+'[3]2023年3月~2024年2月科目余额表'!J104+'[3]2023年3月~2024年2月科目余额表'!J80-'[3]2023年3月~2024年2月科目余额表'!K80-'[3]2023年3月~2024年2月科目余额表'!K91)/10000</f>
        <v>-35.824325999999999</v>
      </c>
      <c r="Y115" s="197"/>
      <c r="Z115" s="197">
        <f t="shared" si="44"/>
        <v>-35.824325999999999</v>
      </c>
      <c r="AA115" s="197">
        <f t="shared" si="46"/>
        <v>-35.824325999999999</v>
      </c>
      <c r="AB115" s="197"/>
      <c r="AC115" s="197"/>
      <c r="AD115" s="207"/>
    </row>
    <row r="116" spans="1:32" ht="13.5" x14ac:dyDescent="0.15">
      <c r="A116" s="17" t="s">
        <v>415</v>
      </c>
      <c r="B116" s="19"/>
      <c r="C116" s="19"/>
      <c r="D116" s="20"/>
      <c r="E116" s="20"/>
      <c r="F116" s="21"/>
      <c r="G116" s="22"/>
      <c r="H116" s="22"/>
      <c r="I116" s="22"/>
      <c r="J116" s="79"/>
      <c r="K116" s="79"/>
      <c r="L116" s="79"/>
      <c r="M116" s="79"/>
      <c r="N116" s="79"/>
      <c r="O116" s="79"/>
      <c r="P116" s="79"/>
      <c r="Q116" s="108"/>
      <c r="R116" s="108"/>
      <c r="S116" s="108"/>
      <c r="T116" s="108"/>
      <c r="U116" s="109"/>
      <c r="V116" s="110"/>
      <c r="W116" s="94"/>
      <c r="X116" s="198"/>
      <c r="Y116" s="198"/>
      <c r="Z116" s="198"/>
      <c r="AA116" s="198"/>
      <c r="AB116" s="198"/>
      <c r="AC116" s="198"/>
      <c r="AD116" s="140"/>
      <c r="AE116" s="9"/>
      <c r="AF116" s="9"/>
    </row>
    <row r="117" spans="1:32" ht="13.5" x14ac:dyDescent="0.15">
      <c r="A117" s="1509" t="s">
        <v>443</v>
      </c>
      <c r="B117" s="1510"/>
      <c r="C117" s="36"/>
      <c r="D117" s="37"/>
      <c r="E117" s="37"/>
      <c r="F117" s="38"/>
      <c r="G117" s="39"/>
      <c r="H117" s="39"/>
      <c r="I117" s="39"/>
      <c r="J117" s="80"/>
      <c r="K117" s="80"/>
      <c r="L117" s="80"/>
      <c r="M117" s="80"/>
      <c r="N117" s="80"/>
      <c r="O117" s="80"/>
      <c r="P117" s="80"/>
      <c r="Q117" s="112"/>
      <c r="R117" s="112"/>
      <c r="S117" s="112"/>
      <c r="T117" s="112"/>
      <c r="U117" s="113"/>
      <c r="V117" s="114"/>
      <c r="W117" s="115"/>
      <c r="X117" s="199"/>
      <c r="Y117" s="199"/>
      <c r="Z117" s="199"/>
      <c r="AA117" s="199"/>
      <c r="AB117" s="199"/>
      <c r="AC117" s="199"/>
      <c r="AD117" s="142"/>
      <c r="AE117" s="9"/>
      <c r="AF117" s="9"/>
    </row>
    <row r="118" spans="1:32" ht="13.5" customHeight="1" outlineLevel="2" x14ac:dyDescent="0.15">
      <c r="A118" s="51">
        <v>1</v>
      </c>
      <c r="B118" s="8" t="s">
        <v>139</v>
      </c>
      <c r="C118" s="48">
        <f>C68</f>
        <v>2695</v>
      </c>
      <c r="D118" s="43">
        <f t="shared" ref="D118:D122" si="53">C118/C$26*10000</f>
        <v>352.228922921856</v>
      </c>
      <c r="E118" s="49"/>
      <c r="F118" s="51"/>
      <c r="G118" s="50"/>
      <c r="H118" s="50"/>
      <c r="I118" s="50"/>
      <c r="J118" s="183"/>
      <c r="K118" s="183"/>
      <c r="L118" s="183"/>
      <c r="M118" s="183"/>
      <c r="N118" s="183"/>
      <c r="O118" s="183"/>
      <c r="P118" s="183"/>
      <c r="Q118" s="120">
        <f>Q68</f>
        <v>297.02970297029702</v>
      </c>
      <c r="R118" s="120"/>
      <c r="S118" s="120"/>
      <c r="T118" s="120"/>
      <c r="U118" s="200">
        <f>U68</f>
        <v>0</v>
      </c>
      <c r="V118" s="201"/>
      <c r="W118" s="132"/>
      <c r="X118" s="120">
        <f>X68</f>
        <v>297.02970297029702</v>
      </c>
      <c r="Y118" s="120"/>
      <c r="Z118" s="120"/>
      <c r="AA118" s="120"/>
      <c r="AB118" s="120"/>
      <c r="AC118" s="120"/>
      <c r="AD118" s="208"/>
      <c r="AE118" s="9"/>
      <c r="AF118" s="9"/>
    </row>
    <row r="119" spans="1:32" ht="13.5" customHeight="1" outlineLevel="2" x14ac:dyDescent="0.15">
      <c r="A119" s="51">
        <v>2</v>
      </c>
      <c r="B119" s="8" t="s">
        <v>256</v>
      </c>
      <c r="C119" s="48">
        <f>C72</f>
        <v>1153</v>
      </c>
      <c r="D119" s="43">
        <f t="shared" si="53"/>
        <v>150.693858303859</v>
      </c>
      <c r="E119" s="49"/>
      <c r="F119" s="51"/>
      <c r="G119" s="50"/>
      <c r="H119" s="50"/>
      <c r="I119" s="50"/>
      <c r="J119" s="183"/>
      <c r="K119" s="183"/>
      <c r="L119" s="183"/>
      <c r="M119" s="183"/>
      <c r="N119" s="183"/>
      <c r="O119" s="183"/>
      <c r="P119" s="183"/>
      <c r="Q119" s="120"/>
      <c r="R119" s="120"/>
      <c r="S119" s="120"/>
      <c r="T119" s="120"/>
      <c r="U119" s="200">
        <f>U72</f>
        <v>0</v>
      </c>
      <c r="V119" s="201"/>
      <c r="W119" s="132"/>
      <c r="X119" s="120"/>
      <c r="Y119" s="120"/>
      <c r="Z119" s="120"/>
      <c r="AA119" s="120"/>
      <c r="AB119" s="120"/>
      <c r="AC119" s="120"/>
      <c r="AD119" s="208"/>
      <c r="AE119" s="9"/>
      <c r="AF119" s="9"/>
    </row>
    <row r="120" spans="1:32" ht="13.5" customHeight="1" outlineLevel="2" x14ac:dyDescent="0.15">
      <c r="A120" s="51">
        <v>3</v>
      </c>
      <c r="B120" s="8" t="s">
        <v>417</v>
      </c>
      <c r="C120" s="48">
        <f>C62*20%</f>
        <v>0</v>
      </c>
      <c r="D120" s="43">
        <f t="shared" si="53"/>
        <v>0</v>
      </c>
      <c r="E120" s="49"/>
      <c r="F120" s="51"/>
      <c r="G120" s="50"/>
      <c r="H120" s="50"/>
      <c r="I120" s="50"/>
      <c r="J120" s="183"/>
      <c r="K120" s="183"/>
      <c r="L120" s="183"/>
      <c r="M120" s="183"/>
      <c r="N120" s="183"/>
      <c r="O120" s="183"/>
      <c r="P120" s="183"/>
      <c r="Q120" s="120"/>
      <c r="R120" s="120"/>
      <c r="S120" s="120"/>
      <c r="T120" s="120"/>
      <c r="U120" s="200">
        <f>U62*20%</f>
        <v>0</v>
      </c>
      <c r="V120" s="201"/>
      <c r="W120" s="132"/>
      <c r="X120" s="120"/>
      <c r="Y120" s="120"/>
      <c r="Z120" s="120"/>
      <c r="AA120" s="120"/>
      <c r="AB120" s="120"/>
      <c r="AC120" s="120"/>
      <c r="AD120" s="208"/>
      <c r="AE120" s="9"/>
      <c r="AF120" s="9"/>
    </row>
    <row r="121" spans="1:32" ht="13.5" customHeight="1" outlineLevel="2" x14ac:dyDescent="0.15">
      <c r="A121" s="51">
        <v>4</v>
      </c>
      <c r="B121" s="8" t="s">
        <v>193</v>
      </c>
      <c r="C121" s="48">
        <f>C82</f>
        <v>1249.8</v>
      </c>
      <c r="D121" s="43">
        <f t="shared" si="53"/>
        <v>163.345346147583</v>
      </c>
      <c r="E121" s="49"/>
      <c r="F121" s="51"/>
      <c r="G121" s="50"/>
      <c r="H121" s="50"/>
      <c r="I121" s="50"/>
      <c r="J121" s="183"/>
      <c r="K121" s="183"/>
      <c r="L121" s="183"/>
      <c r="M121" s="183"/>
      <c r="N121" s="183"/>
      <c r="O121" s="183"/>
      <c r="P121" s="183"/>
      <c r="Q121" s="120"/>
      <c r="R121" s="120"/>
      <c r="S121" s="120"/>
      <c r="T121" s="120"/>
      <c r="U121" s="200">
        <f>U82</f>
        <v>-8269.3373619908198</v>
      </c>
      <c r="V121" s="201"/>
      <c r="W121" s="132"/>
      <c r="X121" s="120"/>
      <c r="Y121" s="120"/>
      <c r="Z121" s="120"/>
      <c r="AA121" s="120"/>
      <c r="AB121" s="120"/>
      <c r="AC121" s="120"/>
      <c r="AD121" s="208"/>
      <c r="AE121" s="9"/>
      <c r="AF121" s="9"/>
    </row>
    <row r="122" spans="1:32" ht="13.5" customHeight="1" outlineLevel="1" x14ac:dyDescent="0.15">
      <c r="A122" s="51" t="s">
        <v>40</v>
      </c>
      <c r="B122" s="8" t="s">
        <v>257</v>
      </c>
      <c r="C122" s="48">
        <f>C118+C119+C120+C121</f>
        <v>5097.8</v>
      </c>
      <c r="D122" s="43">
        <f t="shared" si="53"/>
        <v>666.26812737329794</v>
      </c>
      <c r="E122" s="49"/>
      <c r="F122" s="51"/>
      <c r="G122" s="50"/>
      <c r="H122" s="50"/>
      <c r="I122" s="50"/>
      <c r="J122" s="183"/>
      <c r="K122" s="183"/>
      <c r="L122" s="183"/>
      <c r="M122" s="183"/>
      <c r="N122" s="183"/>
      <c r="O122" s="183"/>
      <c r="P122" s="183"/>
      <c r="Q122" s="48">
        <f>Q118+Q119+Q120+Q121</f>
        <v>297.02970297029702</v>
      </c>
      <c r="R122" s="120"/>
      <c r="S122" s="120"/>
      <c r="T122" s="120"/>
      <c r="U122" s="202">
        <f>SUM(U118:U121)</f>
        <v>-8269.3373619908198</v>
      </c>
      <c r="V122" s="201"/>
      <c r="W122" s="132"/>
      <c r="X122" s="48">
        <f t="shared" ref="X122:AD122" si="54">X118+X119+X120+X121</f>
        <v>297.02970297029702</v>
      </c>
      <c r="Y122" s="48">
        <f t="shared" si="54"/>
        <v>0</v>
      </c>
      <c r="Z122" s="48">
        <f t="shared" si="54"/>
        <v>0</v>
      </c>
      <c r="AA122" s="48">
        <f t="shared" si="54"/>
        <v>0</v>
      </c>
      <c r="AB122" s="48">
        <f t="shared" si="54"/>
        <v>0</v>
      </c>
      <c r="AC122" s="48">
        <f t="shared" si="54"/>
        <v>0</v>
      </c>
      <c r="AD122" s="48">
        <f t="shared" si="54"/>
        <v>0</v>
      </c>
      <c r="AE122" s="9"/>
      <c r="AF122" s="9"/>
    </row>
    <row r="123" spans="1:32" ht="13.5" customHeight="1" outlineLevel="1" x14ac:dyDescent="0.15">
      <c r="A123" s="173"/>
      <c r="B123" s="173" t="str">
        <f t="shared" ref="B123:B126" si="55">B215</f>
        <v>销售代理费收入</v>
      </c>
      <c r="C123" s="48"/>
      <c r="D123" s="43"/>
      <c r="E123" s="49"/>
      <c r="F123" s="51"/>
      <c r="G123" s="50"/>
      <c r="H123" s="50"/>
      <c r="I123" s="50"/>
      <c r="J123" s="183"/>
      <c r="K123" s="183"/>
      <c r="L123" s="183"/>
      <c r="M123" s="183"/>
      <c r="N123" s="183"/>
      <c r="O123" s="183"/>
      <c r="P123" s="183"/>
      <c r="Q123" s="120"/>
      <c r="R123" s="120"/>
      <c r="S123" s="120"/>
      <c r="T123" s="120"/>
      <c r="U123" s="200"/>
      <c r="V123" s="201"/>
      <c r="W123" s="132"/>
      <c r="X123" s="120"/>
      <c r="Y123" s="120"/>
      <c r="Z123" s="120"/>
      <c r="AA123" s="120"/>
      <c r="AB123" s="120"/>
      <c r="AC123" s="120"/>
      <c r="AD123" s="208"/>
      <c r="AE123" s="9"/>
      <c r="AF123" s="9"/>
    </row>
    <row r="124" spans="1:32" ht="13.5" customHeight="1" outlineLevel="1" x14ac:dyDescent="0.15">
      <c r="A124" s="173"/>
      <c r="B124" s="173" t="str">
        <f t="shared" si="55"/>
        <v>销售代理费人工成本</v>
      </c>
      <c r="C124" s="48"/>
      <c r="D124" s="43"/>
      <c r="E124" s="49"/>
      <c r="F124" s="51"/>
      <c r="G124" s="50"/>
      <c r="H124" s="50"/>
      <c r="I124" s="50"/>
      <c r="J124" s="183"/>
      <c r="K124" s="183"/>
      <c r="L124" s="183"/>
      <c r="M124" s="183"/>
      <c r="N124" s="183"/>
      <c r="O124" s="183"/>
      <c r="P124" s="183"/>
      <c r="Q124" s="120"/>
      <c r="R124" s="120"/>
      <c r="S124" s="120"/>
      <c r="T124" s="120"/>
      <c r="U124" s="200"/>
      <c r="V124" s="201"/>
      <c r="W124" s="132"/>
      <c r="X124" s="120"/>
      <c r="Y124" s="120"/>
      <c r="Z124" s="120"/>
      <c r="AA124" s="120"/>
      <c r="AB124" s="120"/>
      <c r="AC124" s="120"/>
      <c r="AD124" s="208"/>
      <c r="AE124" s="9"/>
      <c r="AF124" s="9"/>
    </row>
    <row r="125" spans="1:32" ht="13.5" customHeight="1" outlineLevel="1" x14ac:dyDescent="0.15">
      <c r="A125" s="173"/>
      <c r="B125" s="173" t="str">
        <f t="shared" si="55"/>
        <v>销售代理利润</v>
      </c>
      <c r="C125" s="48"/>
      <c r="D125" s="43"/>
      <c r="E125" s="49"/>
      <c r="F125" s="51"/>
      <c r="G125" s="50"/>
      <c r="H125" s="50"/>
      <c r="I125" s="50"/>
      <c r="J125" s="183"/>
      <c r="K125" s="183"/>
      <c r="L125" s="183"/>
      <c r="M125" s="183"/>
      <c r="N125" s="183"/>
      <c r="O125" s="183"/>
      <c r="P125" s="183"/>
      <c r="Q125" s="120"/>
      <c r="R125" s="120"/>
      <c r="S125" s="120"/>
      <c r="T125" s="120"/>
      <c r="U125" s="200"/>
      <c r="V125" s="201"/>
      <c r="W125" s="132"/>
      <c r="X125" s="120"/>
      <c r="Y125" s="120"/>
      <c r="Z125" s="120"/>
      <c r="AA125" s="120"/>
      <c r="AB125" s="120"/>
      <c r="AC125" s="120"/>
      <c r="AD125" s="208"/>
      <c r="AE125" s="9"/>
      <c r="AF125" s="9"/>
    </row>
    <row r="126" spans="1:32" ht="13.5" customHeight="1" outlineLevel="1" x14ac:dyDescent="0.15">
      <c r="A126" s="173"/>
      <c r="B126" s="173" t="str">
        <f t="shared" si="55"/>
        <v>收益二小计</v>
      </c>
      <c r="C126" s="48"/>
      <c r="D126" s="43"/>
      <c r="E126" s="49"/>
      <c r="F126" s="51"/>
      <c r="G126" s="50"/>
      <c r="H126" s="50"/>
      <c r="I126" s="50"/>
      <c r="J126" s="183"/>
      <c r="K126" s="183"/>
      <c r="L126" s="183"/>
      <c r="M126" s="183"/>
      <c r="N126" s="183"/>
      <c r="O126" s="183"/>
      <c r="P126" s="183"/>
      <c r="Q126" s="120"/>
      <c r="R126" s="120"/>
      <c r="S126" s="120"/>
      <c r="T126" s="120"/>
      <c r="U126" s="200">
        <f>U125+U122</f>
        <v>-8269.3373619908198</v>
      </c>
      <c r="V126" s="201"/>
      <c r="W126" s="132"/>
      <c r="X126" s="120"/>
      <c r="Y126" s="120"/>
      <c r="Z126" s="120"/>
      <c r="AA126" s="120"/>
      <c r="AB126" s="120"/>
      <c r="AC126" s="120"/>
      <c r="AD126" s="208"/>
      <c r="AE126" s="9"/>
      <c r="AF126" s="9"/>
    </row>
    <row r="127" spans="1:32" ht="13.5" customHeight="1" outlineLevel="2" x14ac:dyDescent="0.15">
      <c r="A127" s="51" t="s">
        <v>45</v>
      </c>
      <c r="B127" s="8" t="s">
        <v>258</v>
      </c>
      <c r="C127" s="48">
        <f>C35</f>
        <v>6000</v>
      </c>
      <c r="D127" s="43">
        <f t="shared" ref="D127:D129" si="56">C127/C$26*10000</f>
        <v>784.18313080932705</v>
      </c>
      <c r="E127" s="49"/>
      <c r="F127" s="51"/>
      <c r="G127" s="50"/>
      <c r="H127" s="50"/>
      <c r="I127" s="50"/>
      <c r="J127" s="183"/>
      <c r="K127" s="183"/>
      <c r="L127" s="183"/>
      <c r="M127" s="183"/>
      <c r="N127" s="183"/>
      <c r="O127" s="183"/>
      <c r="P127" s="183"/>
      <c r="Q127" s="120">
        <f>-(Q107+Q100)</f>
        <v>-7986.0850569999984</v>
      </c>
      <c r="R127" s="120"/>
      <c r="S127" s="120"/>
      <c r="T127" s="120"/>
      <c r="U127" s="202"/>
      <c r="V127" s="201"/>
      <c r="W127" s="132"/>
      <c r="X127" s="120">
        <f>-(X107+X100)</f>
        <v>-12748.842965</v>
      </c>
      <c r="Y127" s="120"/>
      <c r="Z127" s="120"/>
      <c r="AA127" s="120"/>
      <c r="AB127" s="120"/>
      <c r="AC127" s="120"/>
      <c r="AD127" s="208"/>
      <c r="AE127" s="9"/>
      <c r="AF127" s="9"/>
    </row>
    <row r="128" spans="1:32" ht="13.5" customHeight="1" outlineLevel="2" x14ac:dyDescent="0.15">
      <c r="A128" s="51" t="s">
        <v>83</v>
      </c>
      <c r="B128" s="8" t="s">
        <v>261</v>
      </c>
      <c r="C128" s="48"/>
      <c r="D128" s="43">
        <f t="shared" si="56"/>
        <v>0</v>
      </c>
      <c r="E128" s="49"/>
      <c r="F128" s="51"/>
      <c r="G128" s="50"/>
      <c r="H128" s="50"/>
      <c r="I128" s="50"/>
      <c r="J128" s="183"/>
      <c r="K128" s="183"/>
      <c r="L128" s="183"/>
      <c r="M128" s="183"/>
      <c r="N128" s="183"/>
      <c r="O128" s="183"/>
      <c r="P128" s="183"/>
      <c r="Q128" s="120"/>
      <c r="R128" s="120"/>
      <c r="S128" s="120"/>
      <c r="T128" s="120"/>
      <c r="U128" s="203"/>
      <c r="V128" s="204"/>
      <c r="W128" s="132"/>
      <c r="X128" s="205">
        <f>X122/X127</f>
        <v>-2.3298561586000133E-2</v>
      </c>
      <c r="Y128" s="120"/>
      <c r="Z128" s="120"/>
      <c r="AA128" s="120"/>
      <c r="AB128" s="120"/>
      <c r="AC128" s="120"/>
      <c r="AD128" s="208"/>
      <c r="AE128" s="9"/>
      <c r="AF128" s="9"/>
    </row>
    <row r="129" spans="1:32" ht="13.5" customHeight="1" outlineLevel="2" x14ac:dyDescent="0.15">
      <c r="A129" s="51" t="s">
        <v>105</v>
      </c>
      <c r="B129" s="8" t="s">
        <v>421</v>
      </c>
      <c r="C129" s="48"/>
      <c r="D129" s="43">
        <f t="shared" si="56"/>
        <v>0</v>
      </c>
      <c r="E129" s="49"/>
      <c r="F129" s="51"/>
      <c r="G129" s="50"/>
      <c r="H129" s="50"/>
      <c r="I129" s="50"/>
      <c r="J129" s="183"/>
      <c r="K129" s="183"/>
      <c r="L129" s="183"/>
      <c r="M129" s="183"/>
      <c r="N129" s="183"/>
      <c r="O129" s="183"/>
      <c r="P129" s="183"/>
      <c r="Q129" s="120"/>
      <c r="R129" s="120"/>
      <c r="S129" s="120"/>
      <c r="T129" s="120"/>
      <c r="U129" s="173"/>
      <c r="V129"/>
      <c r="W129" s="132"/>
      <c r="X129" s="120"/>
      <c r="Y129" s="120"/>
      <c r="Z129" s="120"/>
      <c r="AA129" s="120"/>
      <c r="AB129" s="120"/>
      <c r="AC129" s="120"/>
      <c r="AD129" s="208"/>
      <c r="AE129" s="9"/>
      <c r="AF129" s="9"/>
    </row>
    <row r="130" spans="1:32" ht="13.5" customHeight="1" outlineLevel="2" x14ac:dyDescent="0.15">
      <c r="A130" s="51" t="s">
        <v>112</v>
      </c>
      <c r="B130" s="8" t="s">
        <v>422</v>
      </c>
      <c r="C130" s="48"/>
      <c r="D130" s="43"/>
      <c r="E130" s="49"/>
      <c r="F130" s="51"/>
      <c r="G130" s="50"/>
      <c r="H130" s="50"/>
      <c r="I130" s="50"/>
      <c r="J130" s="183"/>
      <c r="K130" s="183"/>
      <c r="L130" s="183"/>
      <c r="M130" s="183"/>
      <c r="N130" s="183"/>
      <c r="O130" s="183"/>
      <c r="P130" s="183"/>
      <c r="Q130" s="120"/>
      <c r="R130" s="120"/>
      <c r="S130" s="120"/>
      <c r="T130" s="120"/>
      <c r="U130" s="212"/>
      <c r="V130"/>
      <c r="W130" s="132"/>
      <c r="X130" s="120"/>
      <c r="Y130" s="120"/>
      <c r="Z130" s="120"/>
      <c r="AA130" s="120"/>
      <c r="AB130" s="120"/>
      <c r="AC130" s="120"/>
      <c r="AD130" s="208"/>
      <c r="AE130" s="9"/>
      <c r="AF130" s="9"/>
    </row>
    <row r="131" spans="1:32" ht="13.5" customHeight="1" outlineLevel="2" x14ac:dyDescent="0.15">
      <c r="A131" s="51" t="s">
        <v>115</v>
      </c>
      <c r="B131" s="8" t="s">
        <v>423</v>
      </c>
      <c r="C131" s="48"/>
      <c r="D131" s="43"/>
      <c r="E131" s="49"/>
      <c r="F131" s="51"/>
      <c r="G131" s="50"/>
      <c r="H131" s="50"/>
      <c r="I131" s="50"/>
      <c r="J131" s="183"/>
      <c r="K131" s="183"/>
      <c r="L131" s="183"/>
      <c r="M131" s="183"/>
      <c r="N131" s="183"/>
      <c r="O131" s="183"/>
      <c r="P131" s="183"/>
      <c r="Q131" s="120"/>
      <c r="R131" s="120"/>
      <c r="S131" s="120"/>
      <c r="T131" s="120"/>
      <c r="U131" s="202">
        <f>U127-U130</f>
        <v>0</v>
      </c>
      <c r="V131"/>
      <c r="W131" s="132"/>
      <c r="X131" s="120"/>
      <c r="Y131" s="120"/>
      <c r="Z131" s="120"/>
      <c r="AA131" s="120"/>
      <c r="AB131" s="120"/>
      <c r="AC131" s="120"/>
      <c r="AD131" s="208"/>
      <c r="AE131" s="9"/>
      <c r="AF131" s="9"/>
    </row>
    <row r="132" spans="1:32" ht="13.5" x14ac:dyDescent="0.15">
      <c r="A132" s="1509" t="s">
        <v>267</v>
      </c>
      <c r="B132" s="1510"/>
      <c r="C132" s="36"/>
      <c r="D132" s="37"/>
      <c r="E132" s="37"/>
      <c r="F132" s="38"/>
      <c r="G132" s="39"/>
      <c r="H132" s="39"/>
      <c r="I132" s="39"/>
      <c r="J132" s="80"/>
      <c r="K132" s="80"/>
      <c r="L132" s="80"/>
      <c r="M132" s="80"/>
      <c r="N132" s="80"/>
      <c r="O132" s="80"/>
      <c r="P132" s="80"/>
      <c r="Q132" s="112"/>
      <c r="R132" s="112"/>
      <c r="S132" s="112"/>
      <c r="T132" s="112"/>
      <c r="U132" s="113"/>
      <c r="V132" s="114"/>
      <c r="W132" s="115"/>
      <c r="X132" s="213"/>
      <c r="Y132" s="213"/>
      <c r="Z132" s="213"/>
      <c r="AA132" s="213"/>
      <c r="AB132" s="213"/>
      <c r="AC132" s="213"/>
      <c r="AD132" s="220"/>
      <c r="AE132" s="9"/>
      <c r="AF132" s="9"/>
    </row>
    <row r="133" spans="1:32" ht="18" customHeight="1" outlineLevel="2" x14ac:dyDescent="0.15">
      <c r="A133" s="51">
        <v>1</v>
      </c>
      <c r="B133" s="8" t="s">
        <v>86</v>
      </c>
      <c r="C133" s="48">
        <f>C61</f>
        <v>0</v>
      </c>
      <c r="D133" s="43">
        <f t="shared" ref="D133:D138" si="57">C133/C$26*10000</f>
        <v>0</v>
      </c>
      <c r="E133" s="49"/>
      <c r="F133" s="51"/>
      <c r="G133" s="50"/>
      <c r="H133" s="50"/>
      <c r="I133" s="50"/>
      <c r="J133" s="183"/>
      <c r="K133" s="183"/>
      <c r="L133" s="183"/>
      <c r="M133" s="183"/>
      <c r="N133" s="183"/>
      <c r="O133" s="183"/>
      <c r="P133" s="183"/>
      <c r="Q133" s="120"/>
      <c r="R133" s="120"/>
      <c r="S133" s="120"/>
      <c r="T133" s="120"/>
      <c r="U133" s="200">
        <f>30000-U137</f>
        <v>30000</v>
      </c>
      <c r="V133" s="201"/>
      <c r="W133" s="214"/>
      <c r="X133" s="120">
        <f>X61</f>
        <v>23692.345063000001</v>
      </c>
      <c r="Y133" s="120"/>
      <c r="Z133" s="120"/>
      <c r="AA133" s="120"/>
      <c r="AB133" s="120"/>
      <c r="AC133" s="120"/>
      <c r="AD133" s="208"/>
      <c r="AE133" s="9"/>
      <c r="AF133" s="9"/>
    </row>
    <row r="134" spans="1:32" ht="16.899999999999999" customHeight="1" outlineLevel="2" x14ac:dyDescent="0.15">
      <c r="A134" s="51">
        <v>2</v>
      </c>
      <c r="B134" s="8" t="s">
        <v>270</v>
      </c>
      <c r="C134" s="48">
        <f>C62*80%</f>
        <v>0</v>
      </c>
      <c r="D134" s="43">
        <f t="shared" si="57"/>
        <v>0</v>
      </c>
      <c r="E134" s="49"/>
      <c r="F134" s="51"/>
      <c r="G134" s="50"/>
      <c r="H134" s="50"/>
      <c r="I134" s="50"/>
      <c r="J134" s="183"/>
      <c r="K134" s="183"/>
      <c r="L134" s="183"/>
      <c r="M134" s="183"/>
      <c r="N134" s="183"/>
      <c r="O134" s="183"/>
      <c r="P134" s="183"/>
      <c r="Q134" s="120"/>
      <c r="R134" s="120"/>
      <c r="S134" s="120"/>
      <c r="T134" s="120"/>
      <c r="U134" s="200"/>
      <c r="V134" s="201"/>
      <c r="W134" s="214"/>
      <c r="X134" s="120"/>
      <c r="Y134" s="120"/>
      <c r="Z134" s="120"/>
      <c r="AA134" s="120"/>
      <c r="AB134" s="120"/>
      <c r="AC134" s="120"/>
      <c r="AD134" s="208"/>
      <c r="AE134" s="9"/>
      <c r="AF134" s="9"/>
    </row>
    <row r="135" spans="1:32" ht="17.45" customHeight="1" outlineLevel="2" x14ac:dyDescent="0.15">
      <c r="A135" s="51">
        <v>3</v>
      </c>
      <c r="B135" s="8" t="s">
        <v>425</v>
      </c>
      <c r="C135" s="48">
        <f>C83</f>
        <v>4999.2</v>
      </c>
      <c r="D135" s="43">
        <f t="shared" si="57"/>
        <v>653.38138459033098</v>
      </c>
      <c r="E135" s="49"/>
      <c r="F135" s="51"/>
      <c r="G135" s="50"/>
      <c r="H135" s="50"/>
      <c r="I135" s="50"/>
      <c r="J135" s="183"/>
      <c r="K135" s="183"/>
      <c r="L135" s="183"/>
      <c r="M135" s="183"/>
      <c r="N135" s="183"/>
      <c r="O135" s="183"/>
      <c r="P135" s="183"/>
      <c r="Q135" s="120"/>
      <c r="R135" s="120"/>
      <c r="S135" s="120"/>
      <c r="T135" s="120"/>
      <c r="U135" s="200"/>
      <c r="V135" s="201"/>
      <c r="W135" s="214"/>
      <c r="X135" s="120"/>
      <c r="Y135" s="120"/>
      <c r="Z135" s="120"/>
      <c r="AA135" s="120"/>
      <c r="AB135" s="120"/>
      <c r="AC135" s="120"/>
      <c r="AD135" s="208"/>
      <c r="AE135" s="9"/>
      <c r="AF135" s="9"/>
    </row>
    <row r="136" spans="1:32" ht="13.5" customHeight="1" outlineLevel="1" x14ac:dyDescent="0.15">
      <c r="A136" s="51" t="s">
        <v>40</v>
      </c>
      <c r="B136" s="8" t="s">
        <v>257</v>
      </c>
      <c r="C136" s="48">
        <f>C135+C134+C133</f>
        <v>4999.2</v>
      </c>
      <c r="D136" s="43">
        <f t="shared" si="57"/>
        <v>653.38138459033098</v>
      </c>
      <c r="E136" s="49"/>
      <c r="F136" s="51"/>
      <c r="G136" s="50"/>
      <c r="H136" s="50"/>
      <c r="I136" s="50"/>
      <c r="J136" s="183"/>
      <c r="K136" s="183"/>
      <c r="L136" s="183"/>
      <c r="M136" s="183"/>
      <c r="N136" s="183"/>
      <c r="O136" s="183"/>
      <c r="P136" s="183"/>
      <c r="Q136" s="120"/>
      <c r="R136" s="120"/>
      <c r="S136" s="120"/>
      <c r="T136" s="120"/>
      <c r="U136" s="200">
        <f>U135+U134+U133</f>
        <v>30000</v>
      </c>
      <c r="V136" s="201"/>
      <c r="W136" s="214"/>
      <c r="X136" s="120"/>
      <c r="Y136" s="120"/>
      <c r="Z136" s="120"/>
      <c r="AA136" s="120"/>
      <c r="AB136" s="120"/>
      <c r="AC136" s="120"/>
      <c r="AD136" s="208"/>
      <c r="AE136" s="9"/>
      <c r="AF136" s="9"/>
    </row>
    <row r="137" spans="1:32" ht="13.5" customHeight="1" outlineLevel="2" x14ac:dyDescent="0.15">
      <c r="A137" s="51" t="s">
        <v>45</v>
      </c>
      <c r="B137" s="8" t="s">
        <v>258</v>
      </c>
      <c r="C137" s="48">
        <f>C127</f>
        <v>6000</v>
      </c>
      <c r="D137" s="43">
        <f t="shared" si="57"/>
        <v>784.18313080932705</v>
      </c>
      <c r="E137" s="49"/>
      <c r="F137" s="51"/>
      <c r="G137" s="50"/>
      <c r="H137" s="50"/>
      <c r="I137" s="50"/>
      <c r="J137" s="183"/>
      <c r="K137" s="183"/>
      <c r="L137" s="183"/>
      <c r="M137" s="183"/>
      <c r="N137" s="183"/>
      <c r="O137" s="183"/>
      <c r="P137" s="183"/>
      <c r="Q137" s="120">
        <f>-(Q101+Q108)</f>
        <v>0</v>
      </c>
      <c r="R137" s="120"/>
      <c r="S137" s="120"/>
      <c r="T137" s="120"/>
      <c r="U137" s="200"/>
      <c r="V137" s="201"/>
      <c r="W137" s="214"/>
      <c r="X137" s="120"/>
      <c r="Y137" s="120"/>
      <c r="Z137" s="120"/>
      <c r="AA137" s="120"/>
      <c r="AB137" s="120"/>
      <c r="AC137" s="120"/>
      <c r="AD137" s="208"/>
      <c r="AE137" s="9"/>
      <c r="AF137" s="9"/>
    </row>
    <row r="138" spans="1:32" ht="13.5" customHeight="1" outlineLevel="2" x14ac:dyDescent="0.15">
      <c r="A138" s="51" t="s">
        <v>83</v>
      </c>
      <c r="B138" s="8" t="s">
        <v>261</v>
      </c>
      <c r="C138" s="48"/>
      <c r="D138" s="43">
        <f t="shared" si="57"/>
        <v>0</v>
      </c>
      <c r="E138" s="49"/>
      <c r="F138" s="51"/>
      <c r="G138" s="50"/>
      <c r="H138" s="50"/>
      <c r="I138" s="50"/>
      <c r="J138" s="183"/>
      <c r="K138" s="183"/>
      <c r="L138" s="183"/>
      <c r="M138" s="183"/>
      <c r="N138" s="183"/>
      <c r="O138" s="183"/>
      <c r="P138" s="183"/>
      <c r="Q138" s="120"/>
      <c r="R138" s="120"/>
      <c r="S138" s="120"/>
      <c r="T138" s="120"/>
      <c r="U138" s="200">
        <f>[3]合作方收回!D23/10000</f>
        <v>4344.8181969999996</v>
      </c>
      <c r="V138" s="201"/>
      <c r="W138" s="214"/>
      <c r="X138" s="120"/>
      <c r="Y138" s="120"/>
      <c r="Z138" s="120"/>
      <c r="AA138" s="120"/>
      <c r="AB138" s="120"/>
      <c r="AC138" s="120"/>
      <c r="AD138" s="208"/>
      <c r="AE138" s="9"/>
      <c r="AF138" s="9"/>
    </row>
    <row r="139" spans="1:32" ht="13.5" customHeight="1" outlineLevel="2" x14ac:dyDescent="0.15">
      <c r="A139" s="51" t="s">
        <v>105</v>
      </c>
      <c r="B139" s="8" t="s">
        <v>421</v>
      </c>
      <c r="C139" s="48"/>
      <c r="D139" s="43"/>
      <c r="E139" s="49"/>
      <c r="F139" s="51"/>
      <c r="G139" s="50"/>
      <c r="H139" s="50"/>
      <c r="I139" s="50"/>
      <c r="J139" s="183"/>
      <c r="K139" s="183"/>
      <c r="L139" s="183"/>
      <c r="M139" s="183"/>
      <c r="N139" s="183"/>
      <c r="O139" s="183"/>
      <c r="P139" s="183"/>
      <c r="Q139" s="120"/>
      <c r="R139" s="120"/>
      <c r="S139" s="120"/>
      <c r="T139" s="120"/>
      <c r="U139" s="200"/>
      <c r="V139" s="201"/>
      <c r="W139" s="214"/>
      <c r="X139" s="120"/>
      <c r="Y139" s="120"/>
      <c r="Z139" s="120"/>
      <c r="AA139" s="120"/>
      <c r="AB139" s="120"/>
      <c r="AC139" s="120"/>
      <c r="AD139" s="208"/>
      <c r="AE139" s="9"/>
      <c r="AF139" s="9"/>
    </row>
    <row r="140" spans="1:32" ht="13.5" customHeight="1" outlineLevel="2" x14ac:dyDescent="0.15">
      <c r="A140" s="51" t="s">
        <v>112</v>
      </c>
      <c r="B140" s="8" t="s">
        <v>77</v>
      </c>
      <c r="C140" s="48"/>
      <c r="D140" s="43"/>
      <c r="E140" s="49"/>
      <c r="F140" s="51"/>
      <c r="G140" s="50"/>
      <c r="H140" s="50"/>
      <c r="I140" s="50"/>
      <c r="J140" s="183"/>
      <c r="K140" s="183"/>
      <c r="L140" s="183"/>
      <c r="M140" s="183"/>
      <c r="N140" s="183"/>
      <c r="O140" s="183"/>
      <c r="P140" s="183"/>
      <c r="Q140" s="120">
        <f>Q111</f>
        <v>0</v>
      </c>
      <c r="R140" s="120"/>
      <c r="S140" s="120"/>
      <c r="T140" s="120"/>
      <c r="U140" s="200">
        <f>[3]合作方收回!D22/10000</f>
        <v>27903.153431999999</v>
      </c>
      <c r="V140" s="201"/>
      <c r="W140" s="214"/>
      <c r="X140" s="120"/>
      <c r="Y140" s="120"/>
      <c r="Z140" s="120"/>
      <c r="AA140" s="120"/>
      <c r="AB140" s="120"/>
      <c r="AC140" s="120"/>
      <c r="AD140" s="208"/>
      <c r="AE140" s="9"/>
      <c r="AF140" s="9"/>
    </row>
    <row r="141" spans="1:32" ht="13.5" customHeight="1" outlineLevel="2" x14ac:dyDescent="0.15">
      <c r="A141" s="51" t="s">
        <v>115</v>
      </c>
      <c r="B141" s="8" t="s">
        <v>630</v>
      </c>
      <c r="C141" s="48"/>
      <c r="D141" s="43"/>
      <c r="E141" s="49"/>
      <c r="F141" s="51"/>
      <c r="G141" s="50"/>
      <c r="H141" s="50"/>
      <c r="I141" s="50"/>
      <c r="J141" s="183"/>
      <c r="K141" s="183"/>
      <c r="L141" s="183"/>
      <c r="M141" s="183"/>
      <c r="N141" s="183"/>
      <c r="O141" s="183"/>
      <c r="P141" s="183"/>
      <c r="Q141" s="120"/>
      <c r="R141" s="120"/>
      <c r="S141" s="120"/>
      <c r="T141" s="120"/>
      <c r="U141" s="200">
        <f>U136+U137-U140</f>
        <v>2096.8465680000008</v>
      </c>
      <c r="V141" s="201"/>
      <c r="W141" s="214"/>
      <c r="X141" s="120"/>
      <c r="Y141" s="120"/>
      <c r="Z141" s="120"/>
      <c r="AA141" s="120"/>
      <c r="AB141" s="120"/>
      <c r="AC141" s="120"/>
      <c r="AD141" s="208"/>
      <c r="AE141" s="9"/>
      <c r="AF141" s="9"/>
    </row>
    <row r="142" spans="1:32" ht="13.5" x14ac:dyDescent="0.15">
      <c r="A142" s="17" t="s">
        <v>426</v>
      </c>
      <c r="B142" s="19"/>
      <c r="C142" s="19"/>
      <c r="D142" s="20"/>
      <c r="E142" s="20"/>
      <c r="F142" s="21"/>
      <c r="G142" s="22"/>
      <c r="H142" s="22"/>
      <c r="I142" s="22"/>
      <c r="J142" s="79"/>
      <c r="K142" s="79"/>
      <c r="L142" s="79"/>
      <c r="M142" s="79"/>
      <c r="N142" s="79"/>
      <c r="O142" s="79"/>
      <c r="P142" s="79"/>
      <c r="Q142" s="108"/>
      <c r="R142" s="108"/>
      <c r="S142" s="108"/>
      <c r="T142" s="108"/>
      <c r="U142" s="109"/>
      <c r="V142" s="110"/>
      <c r="W142" s="94"/>
      <c r="X142" s="198"/>
      <c r="Y142" s="198"/>
      <c r="Z142" s="198"/>
      <c r="AA142" s="198"/>
      <c r="AB142" s="198"/>
      <c r="AC142" s="198"/>
      <c r="AD142" s="140"/>
      <c r="AE142" s="9"/>
      <c r="AF142" s="9"/>
    </row>
    <row r="143" spans="1:32" ht="13.5" x14ac:dyDescent="0.15">
      <c r="A143" s="1507" t="s">
        <v>15</v>
      </c>
      <c r="B143" s="1508"/>
      <c r="C143" s="36" t="s">
        <v>22</v>
      </c>
      <c r="D143" s="37" t="s">
        <v>37</v>
      </c>
      <c r="E143" s="37" t="s">
        <v>377</v>
      </c>
      <c r="F143" s="38"/>
      <c r="G143" s="39"/>
      <c r="H143" s="39"/>
      <c r="I143" s="39"/>
      <c r="J143" s="80"/>
      <c r="K143" s="80"/>
      <c r="L143" s="80"/>
      <c r="M143" s="80"/>
      <c r="N143" s="80"/>
      <c r="O143" s="80"/>
      <c r="P143" s="80"/>
      <c r="Q143" s="112"/>
      <c r="R143" s="112"/>
      <c r="S143" s="112"/>
      <c r="T143" s="112"/>
      <c r="U143" s="113"/>
      <c r="V143" s="114"/>
      <c r="W143" s="115"/>
      <c r="X143" s="199"/>
      <c r="Y143" s="199"/>
      <c r="Z143" s="199"/>
      <c r="AA143" s="199"/>
      <c r="AB143" s="199"/>
      <c r="AC143" s="199"/>
      <c r="AD143" s="142"/>
      <c r="AE143" s="9"/>
      <c r="AF143" s="9"/>
    </row>
    <row r="144" spans="1:32" x14ac:dyDescent="0.15">
      <c r="A144" s="40" t="s">
        <v>40</v>
      </c>
      <c r="B144" s="41" t="s">
        <v>379</v>
      </c>
      <c r="C144" s="48"/>
      <c r="D144" s="43"/>
      <c r="E144" s="49"/>
      <c r="F144" s="51"/>
      <c r="G144" s="50"/>
      <c r="H144" s="51"/>
      <c r="I144" s="83"/>
      <c r="U144" s="215"/>
      <c r="V144" s="216"/>
      <c r="W144" s="132"/>
      <c r="X144" s="217"/>
      <c r="Y144" s="217"/>
      <c r="Z144" s="217"/>
      <c r="AA144" s="217"/>
      <c r="AB144" s="217"/>
      <c r="AC144" s="217"/>
      <c r="AD144" s="144"/>
      <c r="AE144" s="9"/>
      <c r="AF144" s="9"/>
    </row>
    <row r="145" spans="1:32" x14ac:dyDescent="0.15">
      <c r="A145" s="47">
        <v>1</v>
      </c>
      <c r="B145" s="7" t="s">
        <v>60</v>
      </c>
      <c r="C145" s="48"/>
      <c r="D145" s="43"/>
      <c r="E145" s="49"/>
      <c r="F145" s="51"/>
      <c r="G145" s="50"/>
      <c r="H145" s="51"/>
      <c r="I145" s="83"/>
      <c r="U145" s="200"/>
      <c r="V145" s="201"/>
      <c r="W145" s="132"/>
      <c r="X145" s="217"/>
      <c r="Y145" s="217"/>
      <c r="Z145" s="217"/>
      <c r="AA145" s="217"/>
      <c r="AB145" s="217"/>
      <c r="AC145" s="217"/>
      <c r="AD145" s="144"/>
      <c r="AE145" s="9"/>
      <c r="AF145" s="9"/>
    </row>
    <row r="146" spans="1:32" x14ac:dyDescent="0.15">
      <c r="A146" s="47">
        <v>2</v>
      </c>
      <c r="B146" s="7" t="s">
        <v>65</v>
      </c>
      <c r="C146" s="48"/>
      <c r="D146" s="43"/>
      <c r="E146" s="49"/>
      <c r="F146" s="51"/>
      <c r="G146" s="50"/>
      <c r="H146" s="51"/>
      <c r="I146" s="83"/>
      <c r="U146" s="200"/>
      <c r="V146" s="201"/>
      <c r="W146" s="132"/>
      <c r="X146" s="217"/>
      <c r="Y146" s="217"/>
      <c r="Z146" s="217"/>
      <c r="AA146" s="217"/>
      <c r="AB146" s="217"/>
      <c r="AC146" s="217"/>
      <c r="AD146" s="144"/>
      <c r="AE146" s="9"/>
      <c r="AF146" s="9"/>
    </row>
    <row r="147" spans="1:32" x14ac:dyDescent="0.15">
      <c r="A147" s="47">
        <v>3</v>
      </c>
      <c r="B147" s="7" t="s">
        <v>71</v>
      </c>
      <c r="C147" s="48"/>
      <c r="D147" s="43"/>
      <c r="E147" s="49"/>
      <c r="F147" s="51"/>
      <c r="G147" s="50"/>
      <c r="H147" s="51"/>
      <c r="I147" s="83"/>
      <c r="U147" s="200"/>
      <c r="V147" s="201"/>
      <c r="W147" s="132"/>
      <c r="X147" s="217"/>
      <c r="Y147" s="217"/>
      <c r="Z147" s="217"/>
      <c r="AA147" s="217"/>
      <c r="AB147" s="217"/>
      <c r="AC147" s="217"/>
      <c r="AD147" s="144"/>
      <c r="AE147" s="9"/>
      <c r="AF147" s="9"/>
    </row>
    <row r="148" spans="1:32" x14ac:dyDescent="0.15">
      <c r="A148" s="47">
        <v>4</v>
      </c>
      <c r="B148" s="7" t="s">
        <v>383</v>
      </c>
      <c r="C148" s="48"/>
      <c r="D148" s="43"/>
      <c r="E148" s="49"/>
      <c r="F148" s="51"/>
      <c r="G148" s="50"/>
      <c r="H148" s="51"/>
      <c r="I148" s="83"/>
      <c r="U148" s="200"/>
      <c r="V148" s="201"/>
      <c r="W148" s="132"/>
      <c r="X148" s="217"/>
      <c r="Y148" s="217"/>
      <c r="Z148" s="217"/>
      <c r="AA148" s="217"/>
      <c r="AB148" s="217"/>
      <c r="AC148" s="217"/>
      <c r="AD148" s="144"/>
      <c r="AE148" s="9"/>
      <c r="AF148" s="9"/>
    </row>
    <row r="149" spans="1:32" x14ac:dyDescent="0.15">
      <c r="A149" s="40" t="s">
        <v>45</v>
      </c>
      <c r="B149" s="52" t="s">
        <v>130</v>
      </c>
      <c r="C149" s="53"/>
      <c r="D149" s="43"/>
      <c r="E149" s="49"/>
      <c r="F149" s="51"/>
      <c r="G149" s="50"/>
      <c r="H149" s="51"/>
      <c r="I149" s="83"/>
      <c r="Q149" s="218"/>
      <c r="R149" s="218"/>
      <c r="S149" s="218"/>
      <c r="T149" s="218"/>
      <c r="U149" s="215"/>
      <c r="V149" s="216"/>
      <c r="W149" s="132"/>
      <c r="X149" s="217"/>
      <c r="Y149" s="217"/>
      <c r="Z149" s="217"/>
      <c r="AA149" s="217"/>
      <c r="AB149" s="217"/>
      <c r="AC149" s="217"/>
      <c r="AD149" s="144"/>
      <c r="AE149" s="9"/>
      <c r="AF149" s="9"/>
    </row>
    <row r="150" spans="1:32" x14ac:dyDescent="0.15">
      <c r="A150" s="40"/>
      <c r="B150" s="52" t="s">
        <v>131</v>
      </c>
      <c r="C150" s="53"/>
      <c r="D150" s="43"/>
      <c r="E150" s="49"/>
      <c r="F150" s="51"/>
      <c r="G150" s="50"/>
      <c r="H150" s="51"/>
      <c r="I150" s="83"/>
      <c r="U150" s="200"/>
      <c r="V150" s="201"/>
      <c r="W150" s="132"/>
      <c r="X150" s="217"/>
      <c r="Y150" s="217"/>
      <c r="Z150" s="217"/>
      <c r="AA150" s="217"/>
      <c r="AB150" s="217"/>
      <c r="AC150" s="217"/>
      <c r="AD150" s="144"/>
      <c r="AE150" s="9"/>
      <c r="AF150" s="9"/>
    </row>
    <row r="151" spans="1:32" ht="27" x14ac:dyDescent="0.15">
      <c r="A151" s="40"/>
      <c r="B151" s="52" t="s">
        <v>385</v>
      </c>
      <c r="C151" s="53"/>
      <c r="D151" s="43"/>
      <c r="E151" s="49"/>
      <c r="F151" s="51"/>
      <c r="G151" s="50"/>
      <c r="H151" s="51"/>
      <c r="I151" s="83"/>
      <c r="U151" s="200"/>
      <c r="V151" s="201"/>
      <c r="W151" s="132"/>
      <c r="X151" s="217"/>
      <c r="Y151" s="217"/>
      <c r="Z151" s="217"/>
      <c r="AA151" s="217"/>
      <c r="AB151" s="217"/>
      <c r="AC151" s="217"/>
      <c r="AD151" s="144"/>
      <c r="AE151" s="9"/>
      <c r="AF151" s="9"/>
    </row>
    <row r="152" spans="1:32" x14ac:dyDescent="0.15">
      <c r="A152" s="54" t="s">
        <v>83</v>
      </c>
      <c r="B152" s="52" t="s">
        <v>386</v>
      </c>
      <c r="C152" s="53"/>
      <c r="D152" s="209"/>
      <c r="E152" s="63"/>
      <c r="F152" s="155"/>
      <c r="G152" s="156"/>
      <c r="H152" s="210"/>
      <c r="I152" s="83"/>
      <c r="Q152" s="218"/>
      <c r="R152" s="218"/>
      <c r="S152" s="218"/>
      <c r="T152" s="218"/>
      <c r="U152" s="215"/>
      <c r="V152" s="216"/>
      <c r="W152" s="132"/>
      <c r="X152" s="217"/>
      <c r="Y152" s="217"/>
      <c r="Z152" s="217"/>
      <c r="AA152" s="217"/>
      <c r="AB152" s="217"/>
      <c r="AC152" s="217"/>
      <c r="AD152" s="144"/>
      <c r="AE152" s="9"/>
      <c r="AF152" s="9"/>
    </row>
    <row r="153" spans="1:32" x14ac:dyDescent="0.15">
      <c r="A153" s="54"/>
      <c r="B153" s="69" t="s">
        <v>434</v>
      </c>
      <c r="C153" s="53"/>
      <c r="D153" s="209"/>
      <c r="E153" s="63"/>
      <c r="F153" s="155"/>
      <c r="G153" s="156"/>
      <c r="H153" s="210"/>
      <c r="I153" s="83"/>
      <c r="U153" s="200"/>
      <c r="V153" s="201"/>
      <c r="W153" s="132"/>
      <c r="X153" s="217"/>
      <c r="Y153" s="217"/>
      <c r="Z153" s="217"/>
      <c r="AA153" s="217"/>
      <c r="AB153" s="217"/>
      <c r="AC153" s="217"/>
      <c r="AD153" s="144"/>
      <c r="AE153" s="9"/>
      <c r="AF153" s="9"/>
    </row>
    <row r="154" spans="1:32" x14ac:dyDescent="0.15">
      <c r="A154" s="54"/>
      <c r="B154" s="69" t="s">
        <v>435</v>
      </c>
      <c r="C154" s="53"/>
      <c r="D154" s="209"/>
      <c r="E154" s="63"/>
      <c r="F154" s="155"/>
      <c r="G154" s="156"/>
      <c r="H154" s="210"/>
      <c r="I154" s="83"/>
      <c r="U154" s="200"/>
      <c r="V154" s="201"/>
      <c r="W154" s="132"/>
      <c r="X154" s="217"/>
      <c r="Y154" s="217"/>
      <c r="Z154" s="217"/>
      <c r="AA154" s="217"/>
      <c r="AB154" s="217"/>
      <c r="AC154" s="217"/>
      <c r="AD154" s="144"/>
      <c r="AE154" s="9"/>
      <c r="AF154" s="9"/>
    </row>
    <row r="155" spans="1:32" outlineLevel="1" x14ac:dyDescent="0.15">
      <c r="A155" s="54">
        <v>1</v>
      </c>
      <c r="B155" s="55" t="s">
        <v>133</v>
      </c>
      <c r="C155" s="56"/>
      <c r="D155" s="57"/>
      <c r="E155" s="58"/>
      <c r="F155" s="61"/>
      <c r="G155" s="60"/>
      <c r="H155" s="51"/>
      <c r="I155" s="83"/>
      <c r="U155" s="200"/>
      <c r="V155" s="201"/>
      <c r="W155" s="132"/>
      <c r="X155" s="217"/>
      <c r="Y155" s="217"/>
      <c r="Z155" s="217"/>
      <c r="AA155" s="217"/>
      <c r="AB155" s="217"/>
      <c r="AC155" s="217"/>
      <c r="AD155" s="144"/>
      <c r="AE155" s="9"/>
      <c r="AF155" s="9"/>
    </row>
    <row r="156" spans="1:32" outlineLevel="1" x14ac:dyDescent="0.15">
      <c r="A156" s="54">
        <v>2</v>
      </c>
      <c r="B156" s="55" t="s">
        <v>134</v>
      </c>
      <c r="C156" s="56"/>
      <c r="D156" s="57"/>
      <c r="E156" s="58"/>
      <c r="F156" s="61"/>
      <c r="G156" s="60"/>
      <c r="H156" s="51"/>
      <c r="I156" s="83"/>
      <c r="U156" s="200"/>
      <c r="V156" s="201"/>
      <c r="W156" s="132"/>
      <c r="X156" s="217"/>
      <c r="Y156" s="217"/>
      <c r="Z156" s="217"/>
      <c r="AA156" s="217"/>
      <c r="AB156" s="217"/>
      <c r="AC156" s="217"/>
      <c r="AD156" s="144"/>
      <c r="AE156" s="9"/>
      <c r="AF156" s="9"/>
    </row>
    <row r="157" spans="1:32" outlineLevel="1" x14ac:dyDescent="0.15">
      <c r="A157" s="54">
        <v>3</v>
      </c>
      <c r="B157" s="55" t="s">
        <v>436</v>
      </c>
      <c r="C157" s="56"/>
      <c r="D157" s="57"/>
      <c r="E157" s="58"/>
      <c r="F157" s="61"/>
      <c r="G157" s="60"/>
      <c r="H157" s="51"/>
      <c r="I157" s="83"/>
      <c r="U157" s="200"/>
      <c r="V157" s="201"/>
      <c r="W157" s="132"/>
      <c r="X157" s="217"/>
      <c r="Y157" s="217"/>
      <c r="Z157" s="217"/>
      <c r="AA157" s="217"/>
      <c r="AB157" s="217"/>
      <c r="AC157" s="217"/>
      <c r="AD157" s="144"/>
      <c r="AE157" s="9"/>
      <c r="AF157" s="9"/>
    </row>
    <row r="158" spans="1:32" outlineLevel="1" x14ac:dyDescent="0.15">
      <c r="A158" s="54">
        <v>4</v>
      </c>
      <c r="B158" s="55" t="s">
        <v>390</v>
      </c>
      <c r="C158" s="56"/>
      <c r="D158" s="57"/>
      <c r="E158" s="58"/>
      <c r="F158" s="61"/>
      <c r="G158" s="60"/>
      <c r="H158" s="51"/>
      <c r="I158" s="83"/>
      <c r="U158" s="200"/>
      <c r="V158" s="201"/>
      <c r="W158" s="132"/>
      <c r="X158" s="217"/>
      <c r="Y158" s="217"/>
      <c r="Z158" s="217"/>
      <c r="AA158" s="217"/>
      <c r="AB158" s="217"/>
      <c r="AC158" s="217"/>
      <c r="AD158" s="144"/>
      <c r="AE158" s="9"/>
      <c r="AF158" s="9"/>
    </row>
    <row r="159" spans="1:32" hidden="1" x14ac:dyDescent="0.15">
      <c r="A159" s="47" t="s">
        <v>105</v>
      </c>
      <c r="B159" s="52" t="s">
        <v>137</v>
      </c>
      <c r="C159" s="53"/>
      <c r="D159" s="209"/>
      <c r="E159" s="63"/>
      <c r="F159" s="155"/>
      <c r="G159" s="156"/>
      <c r="H159" s="210"/>
      <c r="I159" s="83"/>
      <c r="U159" s="215"/>
      <c r="V159" s="216"/>
      <c r="W159" s="132"/>
      <c r="X159" s="217"/>
      <c r="Y159" s="217"/>
      <c r="Z159" s="217"/>
      <c r="AA159" s="217"/>
      <c r="AB159" s="217"/>
      <c r="AC159" s="217"/>
      <c r="AD159" s="144"/>
      <c r="AE159" s="9"/>
      <c r="AF159" s="9"/>
    </row>
    <row r="160" spans="1:32" hidden="1" x14ac:dyDescent="0.15">
      <c r="A160" s="47">
        <v>1</v>
      </c>
      <c r="B160" s="41" t="s">
        <v>89</v>
      </c>
      <c r="C160" s="42"/>
      <c r="D160" s="211"/>
      <c r="E160" s="44"/>
      <c r="F160" s="16"/>
      <c r="G160" s="46"/>
      <c r="H160" s="51"/>
      <c r="I160" s="83"/>
      <c r="Q160" s="218"/>
      <c r="R160" s="218"/>
      <c r="S160" s="218"/>
      <c r="T160" s="218"/>
      <c r="U160" s="200"/>
      <c r="V160" s="201"/>
      <c r="W160" s="132"/>
      <c r="X160" s="217"/>
      <c r="Y160" s="217"/>
      <c r="Z160" s="217"/>
      <c r="AA160" s="217"/>
      <c r="AB160" s="217"/>
      <c r="AC160" s="217"/>
      <c r="AD160" s="144"/>
      <c r="AE160" s="9"/>
      <c r="AF160" s="9"/>
    </row>
    <row r="161" spans="1:32" outlineLevel="1" x14ac:dyDescent="0.15">
      <c r="A161" s="47">
        <v>2</v>
      </c>
      <c r="B161" s="41" t="s">
        <v>93</v>
      </c>
      <c r="C161" s="42"/>
      <c r="D161" s="211"/>
      <c r="E161" s="44"/>
      <c r="F161" s="16"/>
      <c r="G161" s="46"/>
      <c r="H161" s="51"/>
      <c r="I161" s="83"/>
      <c r="Q161" s="218"/>
      <c r="R161" s="218"/>
      <c r="S161" s="218"/>
      <c r="T161" s="218"/>
      <c r="U161" s="200"/>
      <c r="V161" s="201"/>
      <c r="W161" s="132"/>
      <c r="X161" s="217"/>
      <c r="Y161" s="217"/>
      <c r="Z161" s="217"/>
      <c r="AA161" s="217"/>
      <c r="AB161" s="217"/>
      <c r="AC161" s="217"/>
      <c r="AD161" s="144"/>
      <c r="AE161" s="9"/>
      <c r="AF161" s="9"/>
    </row>
    <row r="162" spans="1:32" outlineLevel="1" x14ac:dyDescent="0.15">
      <c r="A162" s="47">
        <v>2.1</v>
      </c>
      <c r="B162" s="7" t="s">
        <v>138</v>
      </c>
      <c r="C162" s="48"/>
      <c r="D162" s="43"/>
      <c r="E162" s="49"/>
      <c r="F162" s="51"/>
      <c r="G162" s="50"/>
      <c r="H162" s="51"/>
      <c r="I162" s="83"/>
      <c r="U162" s="200"/>
      <c r="V162" s="201"/>
      <c r="W162" s="132"/>
      <c r="X162" s="217"/>
      <c r="Y162" s="217"/>
      <c r="Z162" s="217"/>
      <c r="AA162" s="217"/>
      <c r="AB162" s="217"/>
      <c r="AC162" s="217"/>
      <c r="AD162" s="144"/>
      <c r="AE162" s="9"/>
      <c r="AF162" s="9"/>
    </row>
    <row r="163" spans="1:32" outlineLevel="1" x14ac:dyDescent="0.15">
      <c r="A163" s="47">
        <v>2.2000000000000002</v>
      </c>
      <c r="B163" s="7" t="s">
        <v>139</v>
      </c>
      <c r="C163" s="48"/>
      <c r="D163" s="43"/>
      <c r="E163" s="49"/>
      <c r="F163" s="51"/>
      <c r="G163" s="50"/>
      <c r="H163" s="51"/>
      <c r="I163" s="83"/>
      <c r="U163" s="200"/>
      <c r="V163" s="201"/>
      <c r="W163" s="132"/>
      <c r="X163" s="217"/>
      <c r="Y163" s="217"/>
      <c r="Z163" s="217"/>
      <c r="AA163" s="217"/>
      <c r="AB163" s="217"/>
      <c r="AC163" s="217"/>
      <c r="AD163" s="144"/>
      <c r="AE163" s="9"/>
      <c r="AF163" s="9"/>
    </row>
    <row r="164" spans="1:32" hidden="1" x14ac:dyDescent="0.15">
      <c r="A164" s="47">
        <v>3</v>
      </c>
      <c r="B164" s="41" t="s">
        <v>98</v>
      </c>
      <c r="C164" s="42"/>
      <c r="D164" s="211"/>
      <c r="E164" s="44"/>
      <c r="F164" s="16"/>
      <c r="G164" s="46"/>
      <c r="H164" s="51"/>
      <c r="I164" s="83"/>
      <c r="U164" s="200"/>
      <c r="V164" s="201"/>
      <c r="W164" s="132"/>
      <c r="X164" s="217"/>
      <c r="Y164" s="217"/>
      <c r="Z164" s="217"/>
      <c r="AA164" s="217"/>
      <c r="AB164" s="217"/>
      <c r="AC164" s="217"/>
      <c r="AD164" s="144"/>
      <c r="AE164" s="9"/>
      <c r="AF164" s="9"/>
    </row>
    <row r="165" spans="1:32" outlineLevel="1" x14ac:dyDescent="0.15">
      <c r="A165" s="47">
        <v>3.1</v>
      </c>
      <c r="B165" s="7" t="s">
        <v>140</v>
      </c>
      <c r="C165" s="48"/>
      <c r="D165" s="43"/>
      <c r="E165" s="49"/>
      <c r="F165" s="51"/>
      <c r="G165" s="50"/>
      <c r="H165" s="51"/>
      <c r="I165" s="83"/>
      <c r="U165" s="200"/>
      <c r="V165" s="201"/>
      <c r="W165" s="132"/>
      <c r="X165" s="217"/>
      <c r="Y165" s="217"/>
      <c r="Z165" s="217"/>
      <c r="AA165" s="217"/>
      <c r="AB165" s="217"/>
      <c r="AC165" s="217"/>
      <c r="AD165" s="144"/>
      <c r="AE165" s="9"/>
      <c r="AF165" s="9"/>
    </row>
    <row r="166" spans="1:32" outlineLevel="1" x14ac:dyDescent="0.15">
      <c r="A166" s="47">
        <v>3.2</v>
      </c>
      <c r="B166" s="7" t="s">
        <v>141</v>
      </c>
      <c r="C166" s="48"/>
      <c r="D166" s="43"/>
      <c r="E166" s="49"/>
      <c r="F166" s="51"/>
      <c r="G166" s="50"/>
      <c r="H166" s="51"/>
      <c r="I166" s="83"/>
      <c r="U166" s="200"/>
      <c r="V166" s="201"/>
      <c r="W166" s="132"/>
      <c r="X166" s="217"/>
      <c r="Y166" s="217"/>
      <c r="Z166" s="217"/>
      <c r="AA166" s="217"/>
      <c r="AB166" s="217"/>
      <c r="AC166" s="217"/>
      <c r="AD166" s="144"/>
      <c r="AE166" s="9"/>
      <c r="AF166" s="9"/>
    </row>
    <row r="167" spans="1:32" outlineLevel="1" x14ac:dyDescent="0.15">
      <c r="A167" s="47">
        <v>3.4</v>
      </c>
      <c r="B167" s="7" t="s">
        <v>142</v>
      </c>
      <c r="C167" s="48"/>
      <c r="D167" s="43"/>
      <c r="E167" s="49"/>
      <c r="F167" s="51"/>
      <c r="G167" s="50"/>
      <c r="H167" s="51"/>
      <c r="I167" s="83"/>
      <c r="U167" s="200"/>
      <c r="V167" s="201"/>
      <c r="W167" s="132"/>
      <c r="X167" s="217"/>
      <c r="Y167" s="217"/>
      <c r="Z167" s="217"/>
      <c r="AA167" s="217"/>
      <c r="AB167" s="217"/>
      <c r="AC167" s="217"/>
      <c r="AD167" s="144"/>
      <c r="AE167" s="9"/>
      <c r="AF167" s="9"/>
    </row>
    <row r="168" spans="1:32" hidden="1" x14ac:dyDescent="0.15">
      <c r="A168" s="47" t="s">
        <v>112</v>
      </c>
      <c r="B168" s="154" t="s">
        <v>398</v>
      </c>
      <c r="C168" s="53"/>
      <c r="D168" s="209"/>
      <c r="E168" s="63"/>
      <c r="F168" s="155"/>
      <c r="G168" s="156"/>
      <c r="H168" s="155"/>
      <c r="I168" s="83"/>
      <c r="U168" s="215"/>
      <c r="V168" s="216"/>
      <c r="W168" s="132"/>
      <c r="X168" s="217"/>
      <c r="Y168" s="217"/>
      <c r="Z168" s="217"/>
      <c r="AA168" s="217"/>
      <c r="AB168" s="217"/>
      <c r="AC168" s="217"/>
      <c r="AD168" s="144"/>
      <c r="AE168" s="9"/>
      <c r="AF168" s="9"/>
    </row>
    <row r="169" spans="1:32" hidden="1" x14ac:dyDescent="0.15">
      <c r="A169" s="47">
        <v>5.0999999999999996</v>
      </c>
      <c r="B169" s="7" t="s">
        <v>143</v>
      </c>
      <c r="C169" s="48"/>
      <c r="D169" s="43"/>
      <c r="E169" s="49"/>
      <c r="F169" s="51"/>
      <c r="G169" s="50"/>
      <c r="H169" s="51"/>
      <c r="I169" s="83"/>
      <c r="U169" s="200"/>
      <c r="V169" s="201"/>
      <c r="W169" s="132"/>
      <c r="X169" s="217"/>
      <c r="Y169" s="217"/>
      <c r="Z169" s="217"/>
      <c r="AA169" s="217"/>
      <c r="AB169" s="217"/>
      <c r="AC169" s="217"/>
      <c r="AD169" s="144"/>
      <c r="AE169" s="9"/>
      <c r="AF169" s="9"/>
    </row>
    <row r="170" spans="1:32" hidden="1" x14ac:dyDescent="0.15">
      <c r="A170" s="47">
        <v>5.2</v>
      </c>
      <c r="B170" s="7" t="s">
        <v>144</v>
      </c>
      <c r="C170" s="48"/>
      <c r="D170" s="43"/>
      <c r="E170" s="49"/>
      <c r="F170" s="51"/>
      <c r="G170" s="50"/>
      <c r="H170" s="51"/>
      <c r="I170" s="83"/>
      <c r="U170" s="200"/>
      <c r="V170" s="201"/>
      <c r="W170" s="132"/>
      <c r="X170" s="217"/>
      <c r="Y170" s="217"/>
      <c r="Z170" s="217"/>
      <c r="AA170" s="217"/>
      <c r="AB170" s="217"/>
      <c r="AC170" s="217"/>
      <c r="AD170" s="144"/>
      <c r="AE170" s="9"/>
      <c r="AF170" s="9"/>
    </row>
    <row r="171" spans="1:32" hidden="1" x14ac:dyDescent="0.15">
      <c r="A171" s="47">
        <v>5.3</v>
      </c>
      <c r="B171" s="7" t="s">
        <v>145</v>
      </c>
      <c r="C171" s="48"/>
      <c r="D171" s="43"/>
      <c r="E171" s="49"/>
      <c r="F171" s="51"/>
      <c r="G171" s="50"/>
      <c r="H171" s="51"/>
      <c r="I171" s="83"/>
      <c r="U171" s="200"/>
      <c r="V171" s="201"/>
      <c r="W171" s="132"/>
      <c r="X171" s="217"/>
      <c r="Y171" s="217"/>
      <c r="Z171" s="217"/>
      <c r="AA171" s="217"/>
      <c r="AB171" s="217"/>
      <c r="AC171" s="217"/>
      <c r="AD171" s="144"/>
      <c r="AE171" s="9"/>
      <c r="AF171" s="9"/>
    </row>
    <row r="172" spans="1:32" hidden="1" x14ac:dyDescent="0.15">
      <c r="A172" s="64" t="s">
        <v>115</v>
      </c>
      <c r="B172" s="154" t="s">
        <v>146</v>
      </c>
      <c r="C172" s="53"/>
      <c r="D172" s="209"/>
      <c r="E172" s="63"/>
      <c r="F172" s="155"/>
      <c r="G172" s="156"/>
      <c r="H172" s="51"/>
      <c r="I172" s="83"/>
      <c r="Q172" s="53"/>
      <c r="R172" s="53"/>
      <c r="S172" s="53"/>
      <c r="T172" s="53"/>
      <c r="U172" s="200"/>
      <c r="V172" s="201"/>
      <c r="W172" s="132"/>
      <c r="X172" s="217"/>
      <c r="Y172" s="217"/>
      <c r="Z172" s="217"/>
      <c r="AA172" s="217"/>
      <c r="AB172" s="217"/>
      <c r="AC172" s="217"/>
      <c r="AD172" s="144"/>
      <c r="AE172" s="9"/>
      <c r="AF172" s="9"/>
    </row>
    <row r="173" spans="1:32" hidden="1" x14ac:dyDescent="0.15">
      <c r="A173" s="47" t="s">
        <v>117</v>
      </c>
      <c r="B173" s="8" t="s">
        <v>148</v>
      </c>
      <c r="C173" s="48"/>
      <c r="D173" s="43"/>
      <c r="E173" s="49"/>
      <c r="F173" s="51"/>
      <c r="G173" s="50"/>
      <c r="H173" s="51"/>
      <c r="I173" s="83"/>
      <c r="Q173" s="48"/>
      <c r="R173" s="48"/>
      <c r="S173" s="48"/>
      <c r="T173" s="48"/>
      <c r="U173" s="215"/>
      <c r="V173" s="216"/>
      <c r="W173" s="132"/>
      <c r="X173" s="217"/>
      <c r="Y173" s="217"/>
      <c r="Z173" s="217"/>
      <c r="AA173" s="217"/>
      <c r="AB173" s="217"/>
      <c r="AC173" s="217"/>
      <c r="AD173" s="144"/>
      <c r="AE173" s="9"/>
      <c r="AF173" s="9"/>
    </row>
    <row r="174" spans="1:32" ht="13.5" customHeight="1" outlineLevel="2" x14ac:dyDescent="0.15">
      <c r="A174" s="51">
        <v>7.1</v>
      </c>
      <c r="B174" s="8" t="s">
        <v>400</v>
      </c>
      <c r="C174" s="48"/>
      <c r="D174" s="43"/>
      <c r="E174" s="49"/>
      <c r="F174" s="51"/>
      <c r="G174" s="50"/>
      <c r="H174" s="51"/>
      <c r="I174" s="83"/>
      <c r="U174" s="200"/>
      <c r="V174" s="201"/>
      <c r="W174" s="132"/>
      <c r="X174" s="217"/>
      <c r="Y174" s="217"/>
      <c r="Z174" s="217"/>
      <c r="AA174" s="217"/>
      <c r="AB174" s="217"/>
      <c r="AC174" s="217"/>
      <c r="AD174" s="144"/>
      <c r="AE174" s="9"/>
      <c r="AF174" s="9"/>
    </row>
    <row r="175" spans="1:32" ht="13.5" customHeight="1" outlineLevel="2" x14ac:dyDescent="0.15">
      <c r="A175" s="47">
        <v>7.2</v>
      </c>
      <c r="B175" s="6" t="s">
        <v>149</v>
      </c>
      <c r="C175" s="48"/>
      <c r="D175" s="43"/>
      <c r="E175" s="49"/>
      <c r="F175" s="51"/>
      <c r="G175" s="50"/>
      <c r="H175" s="51"/>
      <c r="I175" s="83"/>
      <c r="U175" s="215"/>
      <c r="V175" s="216"/>
      <c r="W175" s="132"/>
      <c r="X175" s="217"/>
      <c r="Y175" s="217"/>
      <c r="Z175" s="217"/>
      <c r="AA175" s="217"/>
      <c r="AB175" s="217"/>
      <c r="AC175" s="217"/>
      <c r="AD175" s="144"/>
      <c r="AE175" s="9"/>
      <c r="AF175" s="9"/>
    </row>
    <row r="176" spans="1:32" ht="13.5" customHeight="1" outlineLevel="2" x14ac:dyDescent="0.15">
      <c r="A176" s="47">
        <v>7.3</v>
      </c>
      <c r="B176" s="6" t="s">
        <v>441</v>
      </c>
      <c r="C176" s="48"/>
      <c r="D176" s="43"/>
      <c r="E176" s="49"/>
      <c r="F176" s="51"/>
      <c r="G176" s="50"/>
      <c r="H176" s="51"/>
      <c r="I176" s="83"/>
      <c r="U176" s="215"/>
      <c r="V176" s="216"/>
      <c r="W176" s="132"/>
      <c r="X176" s="217"/>
      <c r="Y176" s="217"/>
      <c r="Z176" s="217"/>
      <c r="AA176" s="217"/>
      <c r="AB176" s="217"/>
      <c r="AC176" s="217"/>
      <c r="AD176" s="144"/>
      <c r="AE176" s="9"/>
      <c r="AF176" s="9"/>
    </row>
    <row r="177" spans="1:32" ht="13.5" hidden="1" x14ac:dyDescent="0.15">
      <c r="A177" s="157" t="s">
        <v>151</v>
      </c>
      <c r="B177" s="158"/>
      <c r="C177" s="159"/>
      <c r="D177" s="160"/>
      <c r="E177" s="161"/>
      <c r="F177" s="162"/>
      <c r="G177" s="162"/>
      <c r="H177" s="162"/>
      <c r="I177" s="162"/>
      <c r="J177" s="177"/>
      <c r="K177" s="177"/>
      <c r="L177" s="177"/>
      <c r="M177" s="177"/>
      <c r="N177" s="177"/>
      <c r="O177" s="177"/>
      <c r="P177" s="177"/>
      <c r="Q177" s="188"/>
      <c r="R177" s="188"/>
      <c r="S177" s="188"/>
      <c r="T177" s="188"/>
      <c r="U177" s="189"/>
      <c r="V177" s="190"/>
      <c r="W177" s="191"/>
      <c r="X177" s="219"/>
      <c r="Y177" s="219"/>
      <c r="Z177" s="219"/>
      <c r="AA177" s="219"/>
      <c r="AB177" s="219"/>
      <c r="AC177" s="219"/>
      <c r="AD177" s="206"/>
      <c r="AE177" s="9"/>
      <c r="AF177" s="9"/>
    </row>
    <row r="178" spans="1:32" hidden="1" x14ac:dyDescent="0.15">
      <c r="A178" s="1469" t="s">
        <v>153</v>
      </c>
      <c r="B178" s="7" t="s">
        <v>152</v>
      </c>
      <c r="C178" s="48"/>
      <c r="D178" s="43"/>
      <c r="E178" s="163"/>
      <c r="F178" s="51"/>
      <c r="G178" s="50"/>
      <c r="H178" s="51"/>
      <c r="I178" s="83"/>
      <c r="Q178" s="184"/>
      <c r="R178" s="184"/>
      <c r="S178" s="184"/>
      <c r="T178" s="184"/>
      <c r="U178" s="173"/>
      <c r="V178"/>
      <c r="W178" s="132"/>
      <c r="X178" s="217"/>
      <c r="Y178" s="217"/>
      <c r="Z178" s="217"/>
      <c r="AA178" s="217"/>
      <c r="AB178" s="217"/>
      <c r="AC178" s="217"/>
      <c r="AD178" s="144"/>
      <c r="AE178" s="9"/>
      <c r="AF178" s="9"/>
    </row>
    <row r="179" spans="1:32" hidden="1" x14ac:dyDescent="0.15">
      <c r="A179" s="1469"/>
      <c r="B179" s="7" t="s">
        <v>154</v>
      </c>
      <c r="C179" s="48"/>
      <c r="D179" s="43"/>
      <c r="E179" s="163"/>
      <c r="F179" s="51"/>
      <c r="G179" s="50"/>
      <c r="H179" s="51"/>
      <c r="I179" s="83"/>
      <c r="Q179" s="184"/>
      <c r="R179" s="184"/>
      <c r="S179" s="184"/>
      <c r="T179" s="184"/>
      <c r="U179" s="173"/>
      <c r="V179"/>
      <c r="W179" s="132"/>
      <c r="X179" s="217"/>
      <c r="Y179" s="217"/>
      <c r="Z179" s="217"/>
      <c r="AA179" s="217"/>
      <c r="AB179" s="217"/>
      <c r="AC179" s="217"/>
      <c r="AD179" s="144"/>
      <c r="AE179" s="9"/>
      <c r="AF179" s="9"/>
    </row>
    <row r="180" spans="1:32" hidden="1" x14ac:dyDescent="0.15">
      <c r="A180" s="1469"/>
      <c r="B180" s="7" t="s">
        <v>155</v>
      </c>
      <c r="C180" s="48"/>
      <c r="D180" s="43"/>
      <c r="E180" s="163"/>
      <c r="F180" s="51"/>
      <c r="G180" s="50"/>
      <c r="H180" s="51"/>
      <c r="I180" s="83"/>
      <c r="Q180" s="184"/>
      <c r="R180" s="184"/>
      <c r="S180" s="184"/>
      <c r="T180" s="184"/>
      <c r="U180" s="173"/>
      <c r="V180"/>
      <c r="W180" s="132"/>
      <c r="X180" s="217"/>
      <c r="Y180" s="217"/>
      <c r="Z180" s="217"/>
      <c r="AA180" s="217"/>
      <c r="AB180" s="217"/>
      <c r="AC180" s="217"/>
      <c r="AD180" s="144"/>
      <c r="AE180" s="9"/>
      <c r="AF180" s="9"/>
    </row>
    <row r="181" spans="1:32" hidden="1" x14ac:dyDescent="0.15">
      <c r="A181" s="1469"/>
      <c r="B181" s="7" t="s">
        <v>156</v>
      </c>
      <c r="C181" s="48"/>
      <c r="D181" s="43"/>
      <c r="E181" s="163"/>
      <c r="F181" s="51"/>
      <c r="G181" s="50"/>
      <c r="H181" s="51"/>
      <c r="I181" s="83"/>
      <c r="Q181" s="184"/>
      <c r="R181" s="184"/>
      <c r="S181" s="184"/>
      <c r="T181" s="184"/>
      <c r="U181" s="173"/>
      <c r="V181"/>
      <c r="W181" s="132"/>
      <c r="X181" s="217"/>
      <c r="Y181" s="217"/>
      <c r="Z181" s="217"/>
      <c r="AA181" s="217"/>
      <c r="AB181" s="217"/>
      <c r="AC181" s="217"/>
      <c r="AD181" s="144"/>
      <c r="AE181" s="9"/>
      <c r="AF181" s="9"/>
    </row>
    <row r="182" spans="1:32" hidden="1" x14ac:dyDescent="0.15">
      <c r="A182" s="1469" t="s">
        <v>157</v>
      </c>
      <c r="B182" s="7" t="s">
        <v>403</v>
      </c>
      <c r="C182" s="48"/>
      <c r="D182" s="43"/>
      <c r="E182" s="163"/>
      <c r="F182" s="51"/>
      <c r="G182" s="50"/>
      <c r="H182" s="51"/>
      <c r="I182" s="83"/>
      <c r="Q182" s="184"/>
      <c r="R182" s="184"/>
      <c r="S182" s="184"/>
      <c r="T182" s="184"/>
      <c r="U182" s="173"/>
      <c r="V182"/>
      <c r="W182" s="132"/>
      <c r="X182" s="217"/>
      <c r="Y182" s="217"/>
      <c r="Z182" s="217"/>
      <c r="AA182" s="217"/>
      <c r="AB182" s="217"/>
      <c r="AC182" s="217"/>
      <c r="AD182" s="144"/>
      <c r="AE182" s="9"/>
      <c r="AF182" s="9"/>
    </row>
    <row r="183" spans="1:32" hidden="1" x14ac:dyDescent="0.15">
      <c r="A183" s="1469"/>
      <c r="B183" s="7" t="s">
        <v>161</v>
      </c>
      <c r="C183" s="48"/>
      <c r="D183" s="43"/>
      <c r="E183" s="163"/>
      <c r="F183" s="51"/>
      <c r="G183" s="50"/>
      <c r="H183" s="51"/>
      <c r="I183" s="83"/>
      <c r="Q183" s="184"/>
      <c r="R183" s="184"/>
      <c r="S183" s="184"/>
      <c r="T183" s="184"/>
      <c r="U183" s="173"/>
      <c r="V183"/>
      <c r="W183" s="132"/>
      <c r="X183" s="217"/>
      <c r="Y183" s="217"/>
      <c r="Z183" s="217"/>
      <c r="AA183" s="217"/>
      <c r="AB183" s="217"/>
      <c r="AC183" s="217"/>
      <c r="AD183" s="144"/>
      <c r="AE183" s="9"/>
      <c r="AF183" s="9"/>
    </row>
    <row r="184" spans="1:32" hidden="1" x14ac:dyDescent="0.15">
      <c r="A184" s="1469"/>
      <c r="B184" s="7" t="s">
        <v>404</v>
      </c>
      <c r="C184" s="48"/>
      <c r="D184" s="43"/>
      <c r="E184" s="163"/>
      <c r="F184" s="51"/>
      <c r="G184" s="50"/>
      <c r="H184" s="51"/>
      <c r="I184" s="83"/>
      <c r="Q184" s="184"/>
      <c r="R184" s="184"/>
      <c r="S184" s="184"/>
      <c r="T184" s="184"/>
      <c r="U184" s="173"/>
      <c r="V184"/>
      <c r="W184" s="132"/>
      <c r="X184" s="217"/>
      <c r="Y184" s="217"/>
      <c r="Z184" s="217"/>
      <c r="AA184" s="217"/>
      <c r="AB184" s="217"/>
      <c r="AC184" s="217"/>
      <c r="AD184" s="144"/>
      <c r="AE184" s="9"/>
      <c r="AF184" s="9"/>
    </row>
    <row r="185" spans="1:32" hidden="1" x14ac:dyDescent="0.15">
      <c r="A185" s="1469"/>
      <c r="B185" s="7" t="s">
        <v>163</v>
      </c>
      <c r="C185" s="48"/>
      <c r="D185" s="43"/>
      <c r="E185" s="163"/>
      <c r="F185" s="51"/>
      <c r="G185" s="50"/>
      <c r="H185" s="51"/>
      <c r="I185" s="83"/>
      <c r="Q185" s="184"/>
      <c r="R185" s="184"/>
      <c r="S185" s="184"/>
      <c r="T185" s="184"/>
      <c r="U185" s="173"/>
      <c r="V185"/>
      <c r="W185" s="132"/>
      <c r="X185" s="217"/>
      <c r="Y185" s="217"/>
      <c r="Z185" s="217"/>
      <c r="AA185" s="217"/>
      <c r="AB185" s="217"/>
      <c r="AC185" s="217"/>
      <c r="AD185" s="144"/>
      <c r="AE185" s="9"/>
      <c r="AF185" s="9"/>
    </row>
    <row r="186" spans="1:32" hidden="1" x14ac:dyDescent="0.15">
      <c r="A186" s="1469"/>
      <c r="B186" s="7" t="s">
        <v>164</v>
      </c>
      <c r="C186" s="48"/>
      <c r="D186" s="43"/>
      <c r="E186" s="163"/>
      <c r="F186" s="51"/>
      <c r="G186" s="50"/>
      <c r="H186" s="51"/>
      <c r="I186" s="83"/>
      <c r="Q186" s="184"/>
      <c r="R186" s="184"/>
      <c r="S186" s="184"/>
      <c r="T186" s="184"/>
      <c r="U186" s="173"/>
      <c r="V186"/>
      <c r="W186" s="132"/>
      <c r="X186" s="217"/>
      <c r="Y186" s="217"/>
      <c r="Z186" s="217"/>
      <c r="AA186" s="217"/>
      <c r="AB186" s="217"/>
      <c r="AC186" s="217"/>
      <c r="AD186" s="144"/>
      <c r="AE186" s="9"/>
      <c r="AF186" s="9"/>
    </row>
    <row r="187" spans="1:32" hidden="1" x14ac:dyDescent="0.15">
      <c r="A187" s="1469"/>
      <c r="B187" s="7" t="s">
        <v>165</v>
      </c>
      <c r="C187" s="48"/>
      <c r="D187" s="43"/>
      <c r="E187" s="49"/>
      <c r="F187" s="51"/>
      <c r="G187" s="50"/>
      <c r="H187" s="51"/>
      <c r="I187" s="83"/>
      <c r="Q187" s="184"/>
      <c r="R187" s="184"/>
      <c r="S187" s="184"/>
      <c r="T187" s="184"/>
      <c r="U187" s="173"/>
      <c r="V187"/>
      <c r="W187" s="132"/>
      <c r="X187" s="217"/>
      <c r="Y187" s="217"/>
      <c r="Z187" s="217"/>
      <c r="AA187" s="217"/>
      <c r="AB187" s="217"/>
      <c r="AC187" s="217"/>
      <c r="AD187" s="144"/>
      <c r="AE187" s="9"/>
      <c r="AF187" s="9"/>
    </row>
    <row r="188" spans="1:32" hidden="1" x14ac:dyDescent="0.15">
      <c r="A188" s="1469"/>
      <c r="B188" s="7" t="s">
        <v>166</v>
      </c>
      <c r="C188" s="48"/>
      <c r="D188" s="43"/>
      <c r="E188" s="49"/>
      <c r="F188" s="51"/>
      <c r="G188" s="50"/>
      <c r="H188" s="51"/>
      <c r="I188" s="83"/>
      <c r="Q188" s="130"/>
      <c r="R188" s="130"/>
      <c r="S188" s="130"/>
      <c r="T188" s="130"/>
      <c r="U188" s="173"/>
      <c r="V188"/>
      <c r="W188" s="132"/>
      <c r="X188" s="217"/>
      <c r="Y188" s="217"/>
      <c r="Z188" s="217"/>
      <c r="AA188" s="217"/>
      <c r="AB188" s="217"/>
      <c r="AC188" s="217"/>
      <c r="AD188" s="144"/>
      <c r="AE188" s="9"/>
      <c r="AF188" s="9"/>
    </row>
    <row r="189" spans="1:32" hidden="1" x14ac:dyDescent="0.15">
      <c r="A189" s="1469"/>
      <c r="B189" s="7" t="s">
        <v>167</v>
      </c>
      <c r="C189" s="48"/>
      <c r="D189" s="43"/>
      <c r="E189" s="49"/>
      <c r="F189" s="51"/>
      <c r="G189" s="50"/>
      <c r="H189" s="51"/>
      <c r="I189" s="83"/>
      <c r="Q189" s="130"/>
      <c r="R189" s="130"/>
      <c r="S189" s="130"/>
      <c r="T189" s="130"/>
      <c r="U189" s="173"/>
      <c r="V189"/>
      <c r="W189" s="132"/>
      <c r="X189" s="217"/>
      <c r="Y189" s="217"/>
      <c r="Z189" s="217"/>
      <c r="AA189" s="217"/>
      <c r="AB189" s="217"/>
      <c r="AC189" s="217"/>
      <c r="AD189" s="144"/>
      <c r="AE189" s="9"/>
      <c r="AF189" s="9"/>
    </row>
    <row r="190" spans="1:32" hidden="1" x14ac:dyDescent="0.15">
      <c r="A190" s="1469" t="s">
        <v>405</v>
      </c>
      <c r="B190" s="7" t="s">
        <v>406</v>
      </c>
      <c r="C190" s="48"/>
      <c r="D190" s="43"/>
      <c r="E190" s="49"/>
      <c r="F190" s="51"/>
      <c r="G190" s="50"/>
      <c r="H190" s="51"/>
      <c r="I190" s="83"/>
      <c r="Q190" s="184"/>
      <c r="R190" s="184"/>
      <c r="S190" s="184"/>
      <c r="T190" s="184"/>
      <c r="U190" s="173"/>
      <c r="V190"/>
      <c r="W190" s="132"/>
      <c r="X190" s="217"/>
      <c r="Y190" s="217"/>
      <c r="Z190" s="217"/>
      <c r="AA190" s="217"/>
      <c r="AB190" s="217"/>
      <c r="AC190" s="217"/>
      <c r="AD190" s="144"/>
      <c r="AE190" s="9"/>
      <c r="AF190" s="9"/>
    </row>
    <row r="191" spans="1:32" hidden="1" x14ac:dyDescent="0.15">
      <c r="A191" s="1469"/>
      <c r="B191" s="7" t="s">
        <v>407</v>
      </c>
      <c r="C191" s="48"/>
      <c r="D191" s="43"/>
      <c r="E191" s="49"/>
      <c r="F191" s="51"/>
      <c r="G191" s="50"/>
      <c r="H191" s="51"/>
      <c r="I191" s="83"/>
      <c r="Q191" s="130"/>
      <c r="R191" s="130"/>
      <c r="S191" s="130"/>
      <c r="T191" s="130"/>
      <c r="U191" s="173"/>
      <c r="V191"/>
      <c r="W191" s="132"/>
      <c r="X191" s="217"/>
      <c r="Y191" s="217"/>
      <c r="Z191" s="217"/>
      <c r="AA191" s="217"/>
      <c r="AB191" s="217"/>
      <c r="AC191" s="217"/>
      <c r="AD191" s="144"/>
      <c r="AE191" s="9"/>
      <c r="AF191" s="9"/>
    </row>
    <row r="192" spans="1:32" outlineLevel="1" x14ac:dyDescent="0.15">
      <c r="A192" s="1469"/>
      <c r="B192" s="7" t="s">
        <v>408</v>
      </c>
      <c r="C192" s="48"/>
      <c r="D192" s="43"/>
      <c r="E192" s="49"/>
      <c r="F192" s="51"/>
      <c r="G192" s="50"/>
      <c r="H192" s="51"/>
      <c r="I192" s="83"/>
      <c r="Q192" s="130"/>
      <c r="R192" s="130"/>
      <c r="S192" s="130"/>
      <c r="T192" s="130"/>
      <c r="U192" s="173"/>
      <c r="V192"/>
      <c r="W192" s="132"/>
      <c r="X192" s="217"/>
      <c r="Y192" s="217"/>
      <c r="Z192" s="217"/>
      <c r="AA192" s="217"/>
      <c r="AB192" s="217"/>
      <c r="AC192" s="217"/>
      <c r="AD192" s="144"/>
      <c r="AE192" s="9"/>
      <c r="AF192" s="9"/>
    </row>
    <row r="193" spans="1:32" outlineLevel="1" x14ac:dyDescent="0.15">
      <c r="A193" s="1469"/>
      <c r="B193" s="7" t="s">
        <v>409</v>
      </c>
      <c r="C193" s="48"/>
      <c r="D193" s="43"/>
      <c r="E193" s="49"/>
      <c r="F193" s="51"/>
      <c r="G193" s="50"/>
      <c r="H193" s="51"/>
      <c r="I193" s="83"/>
      <c r="Q193" s="130"/>
      <c r="R193" s="130"/>
      <c r="S193" s="130"/>
      <c r="T193" s="130"/>
      <c r="U193" s="173"/>
      <c r="V193"/>
      <c r="W193" s="132"/>
      <c r="X193" s="217"/>
      <c r="Y193" s="217"/>
      <c r="Z193" s="217"/>
      <c r="AA193" s="217"/>
      <c r="AB193" s="217"/>
      <c r="AC193" s="217"/>
      <c r="AD193" s="144"/>
      <c r="AE193" s="9"/>
      <c r="AF193" s="9"/>
    </row>
    <row r="194" spans="1:32" hidden="1" x14ac:dyDescent="0.15">
      <c r="A194" s="1469"/>
      <c r="B194" s="7" t="s">
        <v>410</v>
      </c>
      <c r="C194" s="48"/>
      <c r="D194" s="43"/>
      <c r="E194" s="49"/>
      <c r="F194" s="51"/>
      <c r="G194" s="50"/>
      <c r="H194" s="51"/>
      <c r="I194" s="83"/>
      <c r="Q194" s="130"/>
      <c r="R194" s="130"/>
      <c r="S194" s="130"/>
      <c r="T194" s="130"/>
      <c r="U194" s="173"/>
      <c r="V194"/>
      <c r="W194" s="132"/>
      <c r="X194" s="217"/>
      <c r="Y194" s="217"/>
      <c r="Z194" s="217"/>
      <c r="AA194" s="217"/>
      <c r="AB194" s="217"/>
      <c r="AC194" s="217"/>
      <c r="AD194" s="144"/>
      <c r="AE194" s="9"/>
      <c r="AF194" s="9"/>
    </row>
    <row r="195" spans="1:32" hidden="1" x14ac:dyDescent="0.15">
      <c r="A195" s="1469"/>
      <c r="B195" s="7" t="s">
        <v>411</v>
      </c>
      <c r="C195" s="48"/>
      <c r="D195" s="43"/>
      <c r="E195" s="49"/>
      <c r="F195" s="51"/>
      <c r="G195" s="50"/>
      <c r="H195" s="51"/>
      <c r="I195" s="83"/>
      <c r="Q195" s="130"/>
      <c r="R195" s="130"/>
      <c r="S195" s="130"/>
      <c r="T195" s="130"/>
      <c r="U195" s="173"/>
      <c r="V195"/>
      <c r="W195" s="132"/>
      <c r="X195" s="217"/>
      <c r="Y195" s="217"/>
      <c r="Z195" s="217"/>
      <c r="AA195" s="217"/>
      <c r="AB195" s="217"/>
      <c r="AC195" s="217"/>
      <c r="AD195" s="144"/>
      <c r="AE195" s="9"/>
      <c r="AF195" s="9"/>
    </row>
    <row r="196" spans="1:32" hidden="1" x14ac:dyDescent="0.15">
      <c r="A196" s="1469"/>
      <c r="B196" s="7" t="s">
        <v>412</v>
      </c>
      <c r="C196" s="48"/>
      <c r="D196" s="43"/>
      <c r="E196" s="49"/>
      <c r="F196" s="51"/>
      <c r="G196" s="50"/>
      <c r="H196" s="51"/>
      <c r="I196" s="83"/>
      <c r="Q196" s="130"/>
      <c r="R196" s="130"/>
      <c r="S196" s="130"/>
      <c r="T196" s="130"/>
      <c r="U196" s="173"/>
      <c r="V196"/>
      <c r="W196" s="132"/>
      <c r="X196" s="217"/>
      <c r="Y196" s="217"/>
      <c r="Z196" s="217"/>
      <c r="AA196" s="217"/>
      <c r="AB196" s="217"/>
      <c r="AC196" s="217"/>
      <c r="AD196" s="144"/>
      <c r="AE196" s="9"/>
      <c r="AF196" s="9"/>
    </row>
    <row r="197" spans="1:32" hidden="1" x14ac:dyDescent="0.15">
      <c r="A197" s="1469"/>
      <c r="B197" s="7" t="s">
        <v>108</v>
      </c>
      <c r="C197" s="48"/>
      <c r="D197" s="43"/>
      <c r="E197" s="49"/>
      <c r="F197" s="51"/>
      <c r="G197" s="50"/>
      <c r="H197" s="51"/>
      <c r="I197" s="83"/>
      <c r="Q197" s="184"/>
      <c r="R197" s="184"/>
      <c r="S197" s="184"/>
      <c r="T197" s="184"/>
      <c r="U197" s="173"/>
      <c r="V197"/>
      <c r="W197" s="132"/>
      <c r="X197" s="217"/>
      <c r="Y197" s="217"/>
      <c r="Z197" s="217"/>
      <c r="AA197" s="217"/>
      <c r="AB197" s="217"/>
      <c r="AC197" s="217"/>
      <c r="AD197" s="144"/>
      <c r="AE197" s="9"/>
      <c r="AF197" s="9"/>
    </row>
    <row r="198" spans="1:32" hidden="1" x14ac:dyDescent="0.15">
      <c r="A198" s="1469"/>
      <c r="B198" s="7" t="s">
        <v>413</v>
      </c>
      <c r="C198" s="48"/>
      <c r="D198" s="43"/>
      <c r="E198" s="49"/>
      <c r="F198" s="51"/>
      <c r="G198" s="50"/>
      <c r="H198" s="51"/>
      <c r="I198" s="83"/>
      <c r="Q198" s="130"/>
      <c r="R198" s="130"/>
      <c r="S198" s="130"/>
      <c r="T198" s="130"/>
      <c r="U198" s="173"/>
      <c r="V198"/>
      <c r="W198" s="132"/>
      <c r="X198" s="217"/>
      <c r="Y198" s="217"/>
      <c r="Z198" s="217"/>
      <c r="AA198" s="217"/>
      <c r="AB198" s="217"/>
      <c r="AC198" s="217"/>
      <c r="AD198" s="144"/>
      <c r="AE198" s="9"/>
      <c r="AF198" s="9"/>
    </row>
    <row r="199" spans="1:32" outlineLevel="1" x14ac:dyDescent="0.15">
      <c r="A199" s="1469"/>
      <c r="B199" s="7" t="s">
        <v>173</v>
      </c>
      <c r="C199" s="48"/>
      <c r="D199" s="43"/>
      <c r="E199" s="49"/>
      <c r="F199" s="51"/>
      <c r="G199" s="50"/>
      <c r="H199" s="51"/>
      <c r="I199" s="83"/>
      <c r="Q199" s="130"/>
      <c r="R199" s="130"/>
      <c r="S199" s="130"/>
      <c r="T199" s="130"/>
      <c r="U199" s="173"/>
      <c r="V199"/>
      <c r="W199" s="132"/>
      <c r="X199" s="217"/>
      <c r="Y199" s="217"/>
      <c r="Z199" s="217"/>
      <c r="AA199" s="217"/>
      <c r="AB199" s="217"/>
      <c r="AC199" s="217"/>
      <c r="AD199" s="144"/>
      <c r="AE199" s="9"/>
      <c r="AF199" s="9"/>
    </row>
    <row r="200" spans="1:32" outlineLevel="1" x14ac:dyDescent="0.15">
      <c r="A200" s="1469"/>
      <c r="B200" s="7" t="s">
        <v>174</v>
      </c>
      <c r="C200" s="48"/>
      <c r="D200" s="43"/>
      <c r="E200" s="49"/>
      <c r="F200" s="51"/>
      <c r="G200" s="50"/>
      <c r="H200" s="51"/>
      <c r="I200" s="83"/>
      <c r="Q200" s="130"/>
      <c r="R200" s="130"/>
      <c r="S200" s="130"/>
      <c r="T200" s="130"/>
      <c r="U200" s="173"/>
      <c r="V200"/>
      <c r="W200" s="132"/>
      <c r="X200" s="217"/>
      <c r="Y200" s="217"/>
      <c r="Z200" s="217"/>
      <c r="AA200" s="217"/>
      <c r="AB200" s="217"/>
      <c r="AC200" s="217"/>
      <c r="AD200" s="144"/>
      <c r="AE200" s="9"/>
      <c r="AF200" s="9"/>
    </row>
    <row r="201" spans="1:32" hidden="1" x14ac:dyDescent="0.15">
      <c r="A201" s="1469"/>
      <c r="B201" s="7" t="s">
        <v>414</v>
      </c>
      <c r="C201" s="48"/>
      <c r="D201" s="43"/>
      <c r="E201" s="49"/>
      <c r="F201" s="51"/>
      <c r="G201" s="50"/>
      <c r="H201" s="51"/>
      <c r="I201" s="83"/>
      <c r="Q201" s="130"/>
      <c r="R201" s="130"/>
      <c r="S201" s="130"/>
      <c r="T201" s="130"/>
      <c r="U201" s="173"/>
      <c r="V201"/>
      <c r="W201" s="132"/>
      <c r="X201" s="217"/>
      <c r="Y201" s="217"/>
      <c r="Z201" s="217"/>
      <c r="AA201" s="217"/>
      <c r="AB201" s="217"/>
      <c r="AC201" s="217"/>
      <c r="AD201" s="144"/>
      <c r="AE201" s="9"/>
      <c r="AF201" s="9"/>
    </row>
    <row r="202" spans="1:32" hidden="1" x14ac:dyDescent="0.15">
      <c r="A202" s="1469"/>
      <c r="B202" s="7" t="s">
        <v>411</v>
      </c>
      <c r="C202" s="48"/>
      <c r="D202" s="43"/>
      <c r="E202" s="49"/>
      <c r="F202" s="51"/>
      <c r="G202" s="50"/>
      <c r="H202" s="51"/>
      <c r="I202" s="83"/>
      <c r="Q202" s="130"/>
      <c r="R202" s="130"/>
      <c r="S202" s="130"/>
      <c r="T202" s="130"/>
      <c r="U202" s="173"/>
      <c r="V202"/>
      <c r="W202" s="132"/>
      <c r="X202" s="217"/>
      <c r="Y202" s="217"/>
      <c r="Z202" s="217"/>
      <c r="AA202" s="217"/>
      <c r="AB202" s="217"/>
      <c r="AC202" s="217"/>
      <c r="AD202" s="144"/>
      <c r="AE202" s="9"/>
      <c r="AF202" s="9"/>
    </row>
    <row r="203" spans="1:32" hidden="1" x14ac:dyDescent="0.15">
      <c r="A203" s="1469"/>
      <c r="B203" s="7" t="s">
        <v>412</v>
      </c>
      <c r="C203" s="48"/>
      <c r="D203" s="43"/>
      <c r="E203" s="49"/>
      <c r="F203" s="51"/>
      <c r="G203" s="50"/>
      <c r="H203" s="51"/>
      <c r="I203" s="83"/>
      <c r="Q203" s="130"/>
      <c r="R203" s="130"/>
      <c r="S203" s="130"/>
      <c r="T203" s="130"/>
      <c r="U203" s="173"/>
      <c r="V203"/>
      <c r="W203" s="132"/>
      <c r="X203" s="217"/>
      <c r="Y203" s="217"/>
      <c r="Z203" s="217"/>
      <c r="AA203" s="217"/>
      <c r="AB203" s="217"/>
      <c r="AC203" s="217"/>
      <c r="AD203" s="144"/>
      <c r="AE203" s="9"/>
      <c r="AF203" s="9"/>
    </row>
    <row r="204" spans="1:32" hidden="1" x14ac:dyDescent="0.15">
      <c r="A204" s="1469"/>
      <c r="B204" s="7" t="s">
        <v>109</v>
      </c>
      <c r="D204" s="43"/>
      <c r="F204" s="51"/>
      <c r="G204" s="50"/>
      <c r="H204" s="51"/>
      <c r="I204" s="83"/>
      <c r="Q204" s="130"/>
      <c r="R204" s="130"/>
      <c r="S204" s="130"/>
      <c r="T204" s="130"/>
      <c r="U204" s="173"/>
      <c r="V204"/>
      <c r="W204" s="132"/>
      <c r="X204" s="217"/>
      <c r="Y204" s="217"/>
      <c r="Z204" s="217"/>
      <c r="AA204" s="217"/>
      <c r="AB204" s="217"/>
      <c r="AC204" s="217"/>
      <c r="AD204" s="144"/>
      <c r="AE204" s="9"/>
      <c r="AF204" s="9"/>
    </row>
    <row r="205" spans="1:32" hidden="1" x14ac:dyDescent="0.15">
      <c r="A205" s="1469"/>
      <c r="B205" s="7" t="s">
        <v>110</v>
      </c>
      <c r="D205" s="43"/>
      <c r="F205" s="51"/>
      <c r="G205" s="50"/>
      <c r="H205" s="51"/>
      <c r="I205" s="83"/>
      <c r="Q205" s="130"/>
      <c r="R205" s="130"/>
      <c r="S205" s="130"/>
      <c r="T205" s="130"/>
      <c r="U205" s="173"/>
      <c r="V205"/>
      <c r="W205" s="132"/>
      <c r="X205" s="217"/>
      <c r="Y205" s="217"/>
      <c r="Z205" s="217"/>
      <c r="AA205" s="217"/>
      <c r="AB205" s="217"/>
      <c r="AC205" s="217"/>
      <c r="AD205" s="144"/>
      <c r="AE205" s="9"/>
      <c r="AF205" s="9"/>
    </row>
    <row r="206" spans="1:32" hidden="1" x14ac:dyDescent="0.15">
      <c r="A206" s="1469"/>
      <c r="B206" s="7" t="s">
        <v>111</v>
      </c>
      <c r="D206" s="43"/>
      <c r="F206" s="51"/>
      <c r="G206" s="50"/>
      <c r="H206" s="51"/>
      <c r="I206" s="83"/>
      <c r="Q206" s="130"/>
      <c r="R206" s="130"/>
      <c r="S206" s="130"/>
      <c r="T206" s="130"/>
      <c r="U206" s="173"/>
      <c r="V206"/>
      <c r="W206" s="132"/>
      <c r="X206" s="217"/>
      <c r="Y206" s="217"/>
      <c r="Z206" s="217"/>
      <c r="AA206" s="217"/>
      <c r="AB206" s="217"/>
      <c r="AC206" s="217"/>
      <c r="AD206" s="144"/>
      <c r="AE206" s="9"/>
      <c r="AF206" s="9"/>
    </row>
    <row r="207" spans="1:32" hidden="1" x14ac:dyDescent="0.15">
      <c r="A207" s="47" t="s">
        <v>176</v>
      </c>
      <c r="B207" s="7" t="s">
        <v>177</v>
      </c>
      <c r="C207" s="48"/>
      <c r="D207" s="43"/>
      <c r="E207" s="49"/>
      <c r="F207" s="51"/>
      <c r="G207" s="50"/>
      <c r="H207" s="51"/>
      <c r="I207" s="83"/>
      <c r="Q207" s="184"/>
      <c r="R207" s="184"/>
      <c r="S207" s="184"/>
      <c r="T207" s="184"/>
      <c r="U207" s="173"/>
      <c r="V207"/>
      <c r="W207" s="132"/>
      <c r="X207" s="217"/>
      <c r="Y207" s="217"/>
      <c r="Z207" s="217"/>
      <c r="AA207" s="217"/>
      <c r="AB207" s="217"/>
      <c r="AC207" s="217"/>
      <c r="AD207" s="144"/>
      <c r="AE207" s="9"/>
      <c r="AF207" s="9"/>
    </row>
    <row r="208" spans="1:32" ht="13.5" hidden="1" x14ac:dyDescent="0.15">
      <c r="A208" s="17" t="s">
        <v>442</v>
      </c>
      <c r="B208" s="18"/>
      <c r="C208" s="19"/>
      <c r="D208" s="20"/>
      <c r="E208" s="20"/>
      <c r="F208" s="22"/>
      <c r="G208" s="22"/>
      <c r="H208" s="22"/>
      <c r="I208" s="22"/>
      <c r="J208" s="79"/>
      <c r="K208" s="79"/>
      <c r="L208" s="79"/>
      <c r="M208" s="79"/>
      <c r="N208" s="79"/>
      <c r="O208" s="79"/>
      <c r="P208" s="79"/>
      <c r="Q208" s="108"/>
      <c r="R208" s="108"/>
      <c r="S208" s="108"/>
      <c r="T208" s="108"/>
      <c r="U208" s="109"/>
      <c r="V208" s="110"/>
      <c r="W208" s="94"/>
      <c r="X208" s="198"/>
      <c r="Y208" s="198"/>
      <c r="Z208" s="198"/>
      <c r="AA208" s="198"/>
      <c r="AB208" s="198"/>
      <c r="AC208" s="198"/>
      <c r="AD208" s="140"/>
      <c r="AE208" s="9"/>
      <c r="AF208" s="9"/>
    </row>
    <row r="209" spans="1:32" ht="13.5" hidden="1" x14ac:dyDescent="0.15">
      <c r="A209" s="1511" t="s">
        <v>443</v>
      </c>
      <c r="B209" s="1512"/>
      <c r="C209" s="36"/>
      <c r="D209" s="37"/>
      <c r="E209" s="37"/>
      <c r="F209" s="39"/>
      <c r="G209" s="39"/>
      <c r="H209" s="39"/>
      <c r="I209" s="39"/>
      <c r="J209" s="80"/>
      <c r="K209" s="80"/>
      <c r="L209" s="80"/>
      <c r="M209" s="80"/>
      <c r="N209" s="80"/>
      <c r="O209" s="80"/>
      <c r="P209" s="80"/>
      <c r="Q209" s="112"/>
      <c r="R209" s="112"/>
      <c r="S209" s="112"/>
      <c r="T209" s="112"/>
      <c r="U209" s="113"/>
      <c r="V209" s="114"/>
      <c r="W209" s="115"/>
      <c r="X209" s="199"/>
      <c r="Y209" s="199"/>
      <c r="Z209" s="199"/>
      <c r="AA209" s="199"/>
      <c r="AB209" s="199"/>
      <c r="AC209" s="199"/>
      <c r="AD209" s="142"/>
      <c r="AE209" s="9"/>
      <c r="AF209" s="9"/>
    </row>
    <row r="210" spans="1:32" ht="13.5" customHeight="1" outlineLevel="2" x14ac:dyDescent="0.15">
      <c r="A210" s="47">
        <v>1</v>
      </c>
      <c r="B210" s="7" t="s">
        <v>139</v>
      </c>
      <c r="C210" s="48"/>
      <c r="D210" s="43"/>
      <c r="E210" s="49"/>
      <c r="F210" s="51"/>
      <c r="G210" s="50"/>
      <c r="H210" s="51"/>
      <c r="I210" s="83"/>
      <c r="U210" s="200"/>
      <c r="V210" s="201"/>
      <c r="W210" s="132"/>
      <c r="X210" s="217"/>
      <c r="Y210" s="217"/>
      <c r="Z210" s="217"/>
      <c r="AA210" s="217"/>
      <c r="AB210" s="217"/>
      <c r="AC210" s="217"/>
      <c r="AD210" s="144"/>
      <c r="AE210" s="9"/>
      <c r="AF210" s="9"/>
    </row>
    <row r="211" spans="1:32" ht="13.5" customHeight="1" outlineLevel="2" x14ac:dyDescent="0.15">
      <c r="A211" s="47">
        <v>2</v>
      </c>
      <c r="B211" s="7" t="s">
        <v>256</v>
      </c>
      <c r="C211" s="48"/>
      <c r="D211" s="43"/>
      <c r="E211" s="49"/>
      <c r="F211" s="51"/>
      <c r="G211" s="50"/>
      <c r="H211" s="51"/>
      <c r="I211" s="83"/>
      <c r="U211" s="200"/>
      <c r="V211" s="201"/>
      <c r="W211" s="132"/>
      <c r="X211" s="217"/>
      <c r="Y211" s="217"/>
      <c r="Z211" s="217"/>
      <c r="AA211" s="217"/>
      <c r="AB211" s="217"/>
      <c r="AC211" s="217"/>
      <c r="AD211" s="144"/>
      <c r="AE211" s="9"/>
      <c r="AF211" s="9"/>
    </row>
    <row r="212" spans="1:32" ht="13.5" customHeight="1" outlineLevel="2" x14ac:dyDescent="0.15">
      <c r="A212" s="47">
        <v>3</v>
      </c>
      <c r="B212" s="7" t="s">
        <v>417</v>
      </c>
      <c r="C212" s="48"/>
      <c r="D212" s="43"/>
      <c r="E212" s="49"/>
      <c r="F212" s="51"/>
      <c r="G212" s="50"/>
      <c r="H212" s="51"/>
      <c r="I212" s="83"/>
      <c r="U212" s="200"/>
      <c r="V212" s="201"/>
      <c r="W212" s="132"/>
      <c r="X212" s="217"/>
      <c r="Y212" s="217"/>
      <c r="Z212" s="217"/>
      <c r="AA212" s="217"/>
      <c r="AB212" s="217"/>
      <c r="AC212" s="217"/>
      <c r="AD212" s="144"/>
      <c r="AE212" s="9"/>
      <c r="AF212" s="9"/>
    </row>
    <row r="213" spans="1:32" ht="13.5" customHeight="1" outlineLevel="2" x14ac:dyDescent="0.15">
      <c r="A213" s="47">
        <v>4</v>
      </c>
      <c r="B213" s="7" t="s">
        <v>193</v>
      </c>
      <c r="C213" s="48"/>
      <c r="D213" s="43"/>
      <c r="E213" s="49"/>
      <c r="F213" s="51"/>
      <c r="G213" s="50"/>
      <c r="H213" s="51"/>
      <c r="I213" s="83"/>
      <c r="U213" s="200"/>
      <c r="V213" s="201"/>
      <c r="W213" s="132"/>
      <c r="X213" s="217"/>
      <c r="Y213" s="217"/>
      <c r="Z213" s="217"/>
      <c r="AA213" s="217"/>
      <c r="AB213" s="217"/>
      <c r="AC213" s="217"/>
      <c r="AD213" s="144"/>
      <c r="AE213" s="9"/>
      <c r="AF213" s="9"/>
    </row>
    <row r="214" spans="1:32" ht="13.5" customHeight="1" outlineLevel="1" x14ac:dyDescent="0.15">
      <c r="A214" s="47" t="s">
        <v>40</v>
      </c>
      <c r="B214" s="7" t="s">
        <v>257</v>
      </c>
      <c r="C214" s="48"/>
      <c r="D214" s="43"/>
      <c r="E214" s="49"/>
      <c r="F214" s="51"/>
      <c r="G214" s="50"/>
      <c r="H214" s="51"/>
      <c r="I214" s="83"/>
      <c r="U214" s="202"/>
      <c r="V214" s="233"/>
      <c r="W214" s="132"/>
      <c r="X214" s="217"/>
      <c r="Y214" s="217"/>
      <c r="Z214" s="217"/>
      <c r="AA214" s="217"/>
      <c r="AB214" s="217"/>
      <c r="AC214" s="217"/>
      <c r="AD214" s="144"/>
      <c r="AE214" s="9"/>
      <c r="AF214" s="9"/>
    </row>
    <row r="215" spans="1:32" ht="13.5" customHeight="1" outlineLevel="3" x14ac:dyDescent="0.15">
      <c r="A215" s="47"/>
      <c r="B215" s="7" t="s">
        <v>450</v>
      </c>
      <c r="C215" s="48"/>
      <c r="D215" s="43"/>
      <c r="E215" s="49"/>
      <c r="F215" s="51"/>
      <c r="G215" s="50"/>
      <c r="H215" s="51"/>
      <c r="I215" s="83"/>
      <c r="U215" s="215"/>
      <c r="V215" s="216"/>
      <c r="W215" s="132"/>
      <c r="X215" s="217"/>
      <c r="Y215" s="217"/>
      <c r="Z215" s="217"/>
      <c r="AA215" s="217"/>
      <c r="AB215" s="217"/>
      <c r="AC215" s="217"/>
      <c r="AD215" s="144"/>
      <c r="AE215" s="9"/>
      <c r="AF215" s="9"/>
    </row>
    <row r="216" spans="1:32" ht="13.5" customHeight="1" outlineLevel="3" x14ac:dyDescent="0.15">
      <c r="A216" s="47"/>
      <c r="B216" s="7" t="s">
        <v>452</v>
      </c>
      <c r="C216" s="48"/>
      <c r="D216" s="43"/>
      <c r="E216" s="49"/>
      <c r="F216" s="51"/>
      <c r="G216" s="50"/>
      <c r="H216" s="51"/>
      <c r="I216" s="83"/>
      <c r="U216" s="215"/>
      <c r="V216" s="216"/>
      <c r="W216" s="132"/>
      <c r="X216" s="217"/>
      <c r="Y216" s="217"/>
      <c r="Z216" s="217"/>
      <c r="AA216" s="217"/>
      <c r="AB216" s="217"/>
      <c r="AC216" s="217"/>
      <c r="AD216" s="144"/>
      <c r="AE216" s="9"/>
      <c r="AF216" s="9"/>
    </row>
    <row r="217" spans="1:32" ht="13.5" customHeight="1" outlineLevel="2" x14ac:dyDescent="0.15">
      <c r="A217" s="47"/>
      <c r="B217" s="7" t="s">
        <v>453</v>
      </c>
      <c r="C217" s="48"/>
      <c r="D217" s="43"/>
      <c r="E217" s="49"/>
      <c r="F217" s="51"/>
      <c r="G217" s="50"/>
      <c r="H217" s="51"/>
      <c r="I217" s="83"/>
      <c r="U217" s="215"/>
      <c r="V217" s="216"/>
      <c r="W217" s="132"/>
      <c r="X217" s="217"/>
      <c r="Y217" s="217"/>
      <c r="Z217" s="217"/>
      <c r="AA217" s="217"/>
      <c r="AB217" s="217"/>
      <c r="AC217" s="217"/>
      <c r="AD217" s="144"/>
      <c r="AE217" s="9"/>
      <c r="AF217" s="9"/>
    </row>
    <row r="218" spans="1:32" ht="13.5" customHeight="1" outlineLevel="2" x14ac:dyDescent="0.15">
      <c r="A218" s="47"/>
      <c r="B218" s="7" t="s">
        <v>454</v>
      </c>
      <c r="C218" s="48"/>
      <c r="D218" s="43"/>
      <c r="E218" s="49"/>
      <c r="F218" s="51"/>
      <c r="G218" s="50"/>
      <c r="H218" s="51"/>
      <c r="I218" s="83"/>
      <c r="U218" s="215"/>
      <c r="V218" s="216"/>
      <c r="W218" s="132"/>
      <c r="X218" s="217"/>
      <c r="Y218" s="217"/>
      <c r="Z218" s="217"/>
      <c r="AA218" s="217"/>
      <c r="AB218" s="217"/>
      <c r="AC218" s="217"/>
      <c r="AD218" s="144"/>
      <c r="AE218" s="9"/>
      <c r="AF218" s="9"/>
    </row>
    <row r="219" spans="1:32" ht="13.5" customHeight="1" outlineLevel="2" x14ac:dyDescent="0.15">
      <c r="A219" s="47" t="s">
        <v>45</v>
      </c>
      <c r="B219" s="7" t="s">
        <v>258</v>
      </c>
      <c r="C219" s="48"/>
      <c r="D219" s="43"/>
      <c r="E219" s="49"/>
      <c r="F219" s="51"/>
      <c r="G219" s="50"/>
      <c r="H219" s="51"/>
      <c r="I219" s="83"/>
      <c r="U219" s="202"/>
      <c r="V219" s="233"/>
      <c r="W219" s="132"/>
      <c r="X219" s="217"/>
      <c r="Y219" s="217"/>
      <c r="Z219" s="217"/>
      <c r="AA219" s="217"/>
      <c r="AB219" s="217"/>
      <c r="AC219" s="217"/>
      <c r="AD219" s="144"/>
      <c r="AE219" s="9"/>
      <c r="AF219" s="9"/>
    </row>
    <row r="220" spans="1:32" ht="13.5" customHeight="1" outlineLevel="2" x14ac:dyDescent="0.15">
      <c r="A220" s="47" t="s">
        <v>83</v>
      </c>
      <c r="B220" s="7" t="s">
        <v>261</v>
      </c>
      <c r="C220" s="48"/>
      <c r="D220" s="43"/>
      <c r="E220" s="49"/>
      <c r="F220" s="51"/>
      <c r="G220" s="50"/>
      <c r="H220" s="51"/>
      <c r="I220" s="83"/>
      <c r="U220" s="203"/>
      <c r="V220" s="204"/>
      <c r="W220" s="132"/>
      <c r="X220" s="217"/>
      <c r="Y220" s="217"/>
      <c r="Z220" s="217"/>
      <c r="AA220" s="217"/>
      <c r="AB220" s="217"/>
      <c r="AC220" s="217"/>
      <c r="AD220" s="144"/>
      <c r="AE220" s="9"/>
      <c r="AF220" s="9"/>
    </row>
    <row r="221" spans="1:32" ht="13.5" customHeight="1" outlineLevel="2" x14ac:dyDescent="0.15">
      <c r="A221" s="47" t="s">
        <v>105</v>
      </c>
      <c r="B221" s="7" t="s">
        <v>421</v>
      </c>
      <c r="C221" s="221"/>
      <c r="D221" s="222">
        <f>C221/C$26*10000</f>
        <v>0</v>
      </c>
      <c r="E221" s="223"/>
      <c r="F221" s="51"/>
      <c r="G221" s="50"/>
      <c r="H221" s="51"/>
      <c r="I221" s="83"/>
      <c r="U221" s="173"/>
      <c r="V221"/>
      <c r="W221" s="132"/>
      <c r="X221" s="217"/>
      <c r="Y221" s="217"/>
      <c r="Z221" s="217"/>
      <c r="AA221" s="217"/>
      <c r="AB221" s="217"/>
      <c r="AC221" s="217"/>
      <c r="AD221" s="144"/>
      <c r="AE221" s="9"/>
      <c r="AF221" s="9"/>
    </row>
    <row r="222" spans="1:32" ht="13.5" hidden="1" x14ac:dyDescent="0.15">
      <c r="A222" s="1511" t="s">
        <v>568</v>
      </c>
      <c r="B222" s="1512"/>
      <c r="C222" s="36"/>
      <c r="D222" s="37"/>
      <c r="E222" s="37"/>
      <c r="F222" s="39"/>
      <c r="G222" s="39"/>
      <c r="H222" s="39"/>
      <c r="I222" s="39"/>
      <c r="J222" s="80"/>
      <c r="K222" s="80"/>
      <c r="L222" s="80"/>
      <c r="M222" s="80"/>
      <c r="N222" s="80"/>
      <c r="O222" s="80"/>
      <c r="P222" s="80"/>
      <c r="Q222" s="112"/>
      <c r="R222" s="112"/>
      <c r="S222" s="112"/>
      <c r="T222" s="112"/>
      <c r="U222" s="113"/>
      <c r="V222" s="114"/>
      <c r="W222" s="115"/>
      <c r="X222" s="199"/>
      <c r="Y222" s="199"/>
      <c r="Z222" s="199"/>
      <c r="AA222" s="199"/>
      <c r="AB222" s="199"/>
      <c r="AC222" s="199"/>
      <c r="AD222" s="142"/>
      <c r="AE222" s="9"/>
      <c r="AF222" s="9"/>
    </row>
    <row r="223" spans="1:32" ht="13.5" customHeight="1" outlineLevel="2" x14ac:dyDescent="0.15">
      <c r="A223" s="47">
        <v>1</v>
      </c>
      <c r="B223" s="7" t="s">
        <v>86</v>
      </c>
      <c r="C223" s="48"/>
      <c r="D223" s="43"/>
      <c r="E223" s="49"/>
      <c r="F223" s="51"/>
      <c r="G223" s="50"/>
      <c r="H223" s="51"/>
      <c r="I223" s="83"/>
      <c r="U223" s="200"/>
      <c r="V223" s="201"/>
      <c r="W223" s="132"/>
      <c r="X223" s="217"/>
      <c r="Y223" s="217"/>
      <c r="Z223" s="217"/>
      <c r="AA223" s="217"/>
      <c r="AB223" s="217"/>
      <c r="AC223" s="217"/>
      <c r="AD223" s="144"/>
      <c r="AE223" s="9"/>
      <c r="AF223" s="9"/>
    </row>
    <row r="224" spans="1:32" ht="13.5" customHeight="1" outlineLevel="2" x14ac:dyDescent="0.15">
      <c r="A224" s="47">
        <v>2</v>
      </c>
      <c r="B224" s="7" t="s">
        <v>456</v>
      </c>
      <c r="C224" s="48"/>
      <c r="D224" s="43"/>
      <c r="E224" s="49"/>
      <c r="F224" s="51"/>
      <c r="G224" s="50"/>
      <c r="H224" s="51"/>
      <c r="I224" s="83"/>
      <c r="U224" s="200"/>
      <c r="V224" s="201"/>
      <c r="W224" s="132"/>
      <c r="X224" s="217"/>
      <c r="Y224" s="217"/>
      <c r="Z224" s="217"/>
      <c r="AA224" s="217"/>
      <c r="AB224" s="217"/>
      <c r="AC224" s="217"/>
      <c r="AD224" s="144"/>
      <c r="AE224" s="9"/>
      <c r="AF224" s="9"/>
    </row>
    <row r="225" spans="1:32" ht="13.5" customHeight="1" outlineLevel="2" x14ac:dyDescent="0.15">
      <c r="A225" s="47">
        <v>3</v>
      </c>
      <c r="B225" s="7" t="s">
        <v>425</v>
      </c>
      <c r="C225" s="48"/>
      <c r="D225" s="43"/>
      <c r="E225" s="49"/>
      <c r="F225" s="51"/>
      <c r="G225" s="50"/>
      <c r="H225" s="51"/>
      <c r="I225" s="83"/>
      <c r="U225" s="200"/>
      <c r="V225" s="201"/>
      <c r="W225" s="132"/>
      <c r="X225" s="217"/>
      <c r="Y225" s="217"/>
      <c r="Z225" s="217"/>
      <c r="AA225" s="217"/>
      <c r="AB225" s="217"/>
      <c r="AC225" s="217"/>
      <c r="AD225" s="144"/>
      <c r="AE225" s="9"/>
      <c r="AF225" s="9"/>
    </row>
    <row r="226" spans="1:32" ht="13.5" customHeight="1" outlineLevel="1" x14ac:dyDescent="0.15">
      <c r="A226" s="47" t="s">
        <v>40</v>
      </c>
      <c r="B226" s="7" t="s">
        <v>257</v>
      </c>
      <c r="C226" s="48"/>
      <c r="D226" s="43"/>
      <c r="E226" s="49"/>
      <c r="F226" s="51"/>
      <c r="G226" s="50"/>
      <c r="H226" s="51"/>
      <c r="I226" s="83"/>
      <c r="U226" s="200"/>
      <c r="V226" s="201"/>
      <c r="W226" s="132"/>
      <c r="X226" s="217"/>
      <c r="Y226" s="217"/>
      <c r="Z226" s="217"/>
      <c r="AA226" s="217"/>
      <c r="AB226" s="217"/>
      <c r="AC226" s="217"/>
      <c r="AD226" s="144"/>
      <c r="AE226" s="9"/>
      <c r="AF226" s="9"/>
    </row>
    <row r="227" spans="1:32" ht="13.5" customHeight="1" outlineLevel="2" x14ac:dyDescent="0.15">
      <c r="A227" s="47" t="s">
        <v>45</v>
      </c>
      <c r="B227" s="7" t="s">
        <v>258</v>
      </c>
      <c r="C227" s="48"/>
      <c r="D227" s="43"/>
      <c r="E227" s="49"/>
      <c r="F227" s="51"/>
      <c r="G227" s="50"/>
      <c r="H227" s="51"/>
      <c r="I227" s="83"/>
      <c r="U227" s="200"/>
      <c r="V227" s="201"/>
      <c r="W227" s="132"/>
      <c r="X227" s="217"/>
      <c r="Y227" s="217"/>
      <c r="Z227" s="217"/>
      <c r="AA227" s="217"/>
      <c r="AB227" s="217"/>
      <c r="AC227" s="217"/>
      <c r="AD227" s="144"/>
      <c r="AE227" s="9"/>
      <c r="AF227" s="9"/>
    </row>
    <row r="228" spans="1:32" ht="13.5" customHeight="1" outlineLevel="2" x14ac:dyDescent="0.15">
      <c r="A228" s="47" t="s">
        <v>83</v>
      </c>
      <c r="B228" s="7" t="s">
        <v>261</v>
      </c>
      <c r="C228" s="48"/>
      <c r="D228" s="43"/>
      <c r="E228" s="49"/>
      <c r="F228" s="51"/>
      <c r="G228" s="50"/>
      <c r="H228" s="51"/>
      <c r="I228" s="83"/>
      <c r="U228" s="200"/>
      <c r="V228" s="201"/>
      <c r="W228" s="132"/>
      <c r="X228" s="217"/>
      <c r="Y228" s="217"/>
      <c r="Z228" s="217"/>
      <c r="AA228" s="217"/>
      <c r="AB228" s="217"/>
      <c r="AC228" s="217"/>
      <c r="AD228" s="144"/>
      <c r="AE228" s="9"/>
      <c r="AF228" s="9"/>
    </row>
    <row r="229" spans="1:32" ht="13.5" customHeight="1" outlineLevel="2" x14ac:dyDescent="0.15">
      <c r="A229" s="224" t="s">
        <v>105</v>
      </c>
      <c r="B229" s="225" t="s">
        <v>421</v>
      </c>
      <c r="C229" s="226"/>
      <c r="D229" s="227"/>
      <c r="E229" s="228"/>
      <c r="F229" s="229"/>
      <c r="G229" s="230"/>
      <c r="H229" s="229"/>
      <c r="I229" s="231"/>
      <c r="J229" s="232"/>
      <c r="K229" s="232"/>
      <c r="L229" s="232"/>
      <c r="M229" s="232"/>
      <c r="N229" s="232"/>
      <c r="O229" s="232"/>
      <c r="P229" s="232"/>
      <c r="Q229" s="89"/>
      <c r="R229" s="89"/>
      <c r="S229" s="89"/>
      <c r="T229" s="89"/>
      <c r="U229" s="234"/>
      <c r="V229" s="235"/>
      <c r="W229" s="236"/>
      <c r="X229" s="237"/>
      <c r="Y229" s="237"/>
      <c r="Z229" s="237"/>
      <c r="AA229" s="237"/>
      <c r="AB229" s="237"/>
      <c r="AC229" s="237"/>
      <c r="AD229" s="239"/>
      <c r="AE229" s="9"/>
      <c r="AF229" s="9"/>
    </row>
    <row r="230" spans="1:32" x14ac:dyDescent="0.15">
      <c r="AD230" s="217"/>
      <c r="AE230" s="217"/>
    </row>
    <row r="232" spans="1:32" x14ac:dyDescent="0.15">
      <c r="K232" s="11">
        <f>[3]聚荣投入!F96/10000</f>
        <v>97.765192999999897</v>
      </c>
      <c r="Q232" s="238" t="s">
        <v>631</v>
      </c>
      <c r="R232" s="238"/>
      <c r="S232" s="238">
        <f>([3]海景202302科目余额表!I245+[3]海景202302科目余额表!I247+[3]海景202302科目余额表!I248+[3]海景202302科目余额表!I267+[3]海景202302科目余额表!I276+[3]合作方收回!D3+[3]合作方收回!D4+[3]合作方收回!D5+[3]合作方收回!D6)/10000-Q57</f>
        <v>4843.5248479999991</v>
      </c>
      <c r="T232" s="12" t="s">
        <v>632</v>
      </c>
      <c r="AD232" s="240" t="s">
        <v>633</v>
      </c>
      <c r="AE232" s="240"/>
      <c r="AF232" s="240">
        <v>3000</v>
      </c>
    </row>
    <row r="233" spans="1:32" x14ac:dyDescent="0.15">
      <c r="K233" s="11">
        <f>-S233-+[3]合作方收回!E25</f>
        <v>-207.35679300000001</v>
      </c>
      <c r="P233" s="11">
        <v>1</v>
      </c>
      <c r="Q233" s="238" t="s">
        <v>634</v>
      </c>
      <c r="R233" s="238"/>
      <c r="S233" s="238">
        <f>-([3]海景202302科目余额表!J248-[3]合作方收回!D7-[3]合作方收回!D8-[3]合作方收回!D9-[3]合作方收回!D12)/10000+[3]海景202302科目余额表!K248/10000</f>
        <v>227.04615700000002</v>
      </c>
    </row>
    <row r="234" spans="1:32" x14ac:dyDescent="0.15">
      <c r="Q234" s="238" t="s">
        <v>635</v>
      </c>
      <c r="R234" s="238"/>
      <c r="S234" s="238">
        <f>([3]合作方收回!D16+[3]合作方收回!D17)/10000+1464663.53/10000</f>
        <v>3146.4663529999998</v>
      </c>
    </row>
    <row r="235" spans="1:32" x14ac:dyDescent="0.15">
      <c r="Q235" s="238" t="s">
        <v>636</v>
      </c>
      <c r="R235" s="238"/>
      <c r="S235" s="238">
        <f>-([3]海景202302科目余额表!I279+[3]海景202302科目余额表!I280)/10000</f>
        <v>601.83976499999994</v>
      </c>
      <c r="U235" s="12">
        <f>[3]海景202302资产负债表!J43/10000</f>
        <v>-2491.2239640000003</v>
      </c>
      <c r="V235" s="12">
        <f>U235-S84</f>
        <v>-109.59159999999702</v>
      </c>
    </row>
    <row r="236" spans="1:32" x14ac:dyDescent="0.15">
      <c r="Q236" s="12" t="s">
        <v>637</v>
      </c>
      <c r="S236" s="12">
        <v>144.51</v>
      </c>
      <c r="V236" s="12">
        <f>V235+S235+S236</f>
        <v>636.75816500000292</v>
      </c>
    </row>
    <row r="242" spans="10:32" x14ac:dyDescent="0.15">
      <c r="J242" s="12">
        <f>+J64+J73+J77+J78+J85+J86+J87+J88+J89+J90+J91+J92+J93+J94+J95+J98+J105+J112+J115</f>
        <v>77947.726672000004</v>
      </c>
      <c r="K242" s="12">
        <f>+K64+K73+K77+K78+K85+K86+K87+K88+K89+K90+K91+K92+K93+K94+K95+K98+K105+K112+K115</f>
        <v>77947.726672000004</v>
      </c>
      <c r="L242" s="12"/>
      <c r="M242" s="12"/>
      <c r="N242" s="12"/>
      <c r="O242" s="12"/>
      <c r="P242" s="12"/>
      <c r="Q242" s="12">
        <f>+Q64+Q73+Q77+Q78+Q85+Q86+Q87+Q88+Q89+Q90+Q91+Q92+Q93+Q94+Q95+Q98+Q105+Q112+Q115</f>
        <v>85133.251196000012</v>
      </c>
      <c r="S242" s="12">
        <f>+Q64+Q73+Q77+Q78+Q85+Q86+Q87+Q88+Q89+Q90+Q91+Q92+Q93+Q94+Q95+Q98+Q105+Q112+Q115</f>
        <v>85133.251196000012</v>
      </c>
      <c r="AD242" s="12" t="s">
        <v>638</v>
      </c>
      <c r="AE242" s="12"/>
      <c r="AF242" s="12">
        <f>+X64+X73+X77+X78+X85+X86+X87+X88+X89+X90+X91+X92+X93+X94+X95+X98+X105+X112+X115</f>
        <v>91043.529394000012</v>
      </c>
    </row>
    <row r="244" spans="10:32" x14ac:dyDescent="0.15">
      <c r="AF244" s="12"/>
    </row>
  </sheetData>
  <mergeCells count="66">
    <mergeCell ref="A132:B132"/>
    <mergeCell ref="A143:B143"/>
    <mergeCell ref="A209:B209"/>
    <mergeCell ref="A222:B222"/>
    <mergeCell ref="A5:A7"/>
    <mergeCell ref="A8:A10"/>
    <mergeCell ref="A11:A33"/>
    <mergeCell ref="A34:A39"/>
    <mergeCell ref="A42:A44"/>
    <mergeCell ref="A85:A88"/>
    <mergeCell ref="A89:A97"/>
    <mergeCell ref="A98:A114"/>
    <mergeCell ref="A178:A181"/>
    <mergeCell ref="A182:A189"/>
    <mergeCell ref="A190:A206"/>
    <mergeCell ref="B36:B38"/>
    <mergeCell ref="C38:E38"/>
    <mergeCell ref="C39:E39"/>
    <mergeCell ref="C40:E40"/>
    <mergeCell ref="A49:B49"/>
    <mergeCell ref="A117:B117"/>
    <mergeCell ref="C33:E33"/>
    <mergeCell ref="C34:E34"/>
    <mergeCell ref="C35:E35"/>
    <mergeCell ref="C36:E36"/>
    <mergeCell ref="C37:E37"/>
    <mergeCell ref="C28:E28"/>
    <mergeCell ref="C29:E29"/>
    <mergeCell ref="C30:E30"/>
    <mergeCell ref="C31:E31"/>
    <mergeCell ref="C32:E32"/>
    <mergeCell ref="C23:E23"/>
    <mergeCell ref="C24:E24"/>
    <mergeCell ref="C25:E25"/>
    <mergeCell ref="C26:E26"/>
    <mergeCell ref="C27:E27"/>
    <mergeCell ref="C18:E18"/>
    <mergeCell ref="C19:E19"/>
    <mergeCell ref="C20:E20"/>
    <mergeCell ref="C21:E21"/>
    <mergeCell ref="C22:E22"/>
    <mergeCell ref="C13:E13"/>
    <mergeCell ref="C14:E14"/>
    <mergeCell ref="C15:E15"/>
    <mergeCell ref="C16:E16"/>
    <mergeCell ref="C17:E17"/>
    <mergeCell ref="C8:E8"/>
    <mergeCell ref="C9:E9"/>
    <mergeCell ref="C10:E10"/>
    <mergeCell ref="C11:E11"/>
    <mergeCell ref="C12:E12"/>
    <mergeCell ref="C5:E5"/>
    <mergeCell ref="U5:W5"/>
    <mergeCell ref="C6:E6"/>
    <mergeCell ref="U6:W6"/>
    <mergeCell ref="C7:E7"/>
    <mergeCell ref="U7:W7"/>
    <mergeCell ref="A1:H1"/>
    <mergeCell ref="A2:E2"/>
    <mergeCell ref="U2:W2"/>
    <mergeCell ref="X2:AD2"/>
    <mergeCell ref="A3:B3"/>
    <mergeCell ref="C3:E3"/>
    <mergeCell ref="J3:T3"/>
    <mergeCell ref="U3:V3"/>
    <mergeCell ref="AB3:AC3"/>
  </mergeCells>
  <phoneticPr fontId="62" type="noConversion"/>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7</vt:i4>
      </vt:variant>
    </vt:vector>
  </HeadingPairs>
  <TitlesOfParts>
    <vt:vector size="7" baseType="lpstr">
      <vt:lpstr>汇总汇报报告（含海景嘉福）</vt:lpstr>
      <vt:lpstr>汇总汇报报告（含海景嘉福） (2)</vt:lpstr>
      <vt:lpstr>海景嘉福汇报报告</vt:lpstr>
      <vt:lpstr>永华工业园</vt:lpstr>
      <vt:lpstr>南站</vt:lpstr>
      <vt:lpstr>金山湖</vt:lpstr>
      <vt:lpstr>海景嘉福</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zhaonan</dc:creator>
  <cp:lastModifiedBy>liu wenlong</cp:lastModifiedBy>
  <dcterms:created xsi:type="dcterms:W3CDTF">2023-05-12T11:15:00Z</dcterms:created>
  <dcterms:modified xsi:type="dcterms:W3CDTF">2024-03-26T16:34:23Z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2052-12.1.0.16388</vt:lpwstr>
  </property>
  <property fmtid="{D5CDD505-2E9C-101B-9397-08002B2CF9AE}" pid="3" name="ICV">
    <vt:lpwstr>A16C4B02B34C4D209C4C794589B43356_13</vt:lpwstr>
  </property>
</Properties>
</file>